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120" windowWidth="12120" windowHeight="8400" activeTab="1"/>
  </bookViews>
  <sheets>
    <sheet name="wire run chart" sheetId="1" r:id="rId1"/>
    <sheet name="5kW-S WindCAD " sheetId="2" r:id="rId2"/>
    <sheet name="Sheet1" sheetId="3" r:id="rId3"/>
  </sheets>
  <externalReferences>
    <externalReference r:id="rId6"/>
  </externalReferences>
  <definedNames>
    <definedName name="alt_corr">'5kW-S WindCAD '!$G$11</definedName>
    <definedName name="awg0" localSheetId="0">'wire run chart'!$N$24</definedName>
    <definedName name="awg0">#REF!</definedName>
    <definedName name="awg00" localSheetId="0">'wire run chart'!$N$25</definedName>
    <definedName name="awg00">#REF!</definedName>
    <definedName name="awg000" localSheetId="0">'wire run chart'!$N$26</definedName>
    <definedName name="awg000">#REF!</definedName>
    <definedName name="awg2" localSheetId="0">'wire run chart'!$N$23</definedName>
    <definedName name="awg2">#REF!</definedName>
    <definedName name="awg3" localSheetId="0">'wire run chart'!$N$22</definedName>
    <definedName name="awg3">#REF!</definedName>
    <definedName name="awg4" localSheetId="0">'wire run chart'!$N$21</definedName>
    <definedName name="awg4">#REF!</definedName>
    <definedName name="awg6" localSheetId="0">'wire run chart'!$N$20</definedName>
    <definedName name="awg6">#REF!</definedName>
    <definedName name="awg8">'wire run chart'!$N$19</definedName>
    <definedName name="m_s">'5kW-S WindCAD '!$G$10</definedName>
    <definedName name="_xlnm.Print_Area" localSheetId="1">'5kW-S WindCAD '!$A$1:$M$63</definedName>
    <definedName name="_xlnm.Print_Area" localSheetId="0">'wire run chart'!$A$1:$F$45</definedName>
    <definedName name="resistance">'5kW-S WindCAD '!$G$17</definedName>
    <definedName name="rrr">'[1]Sheet1'!$S$2</definedName>
    <definedName name="weibull_c">'5kW-S WindCAD '!$K$21</definedName>
    <definedName name="weibull_k">'5kW-S WindCAD '!$B$11</definedName>
  </definedNames>
  <calcPr fullCalcOnLoad="1"/>
</workbook>
</file>

<file path=xl/sharedStrings.xml><?xml version="1.0" encoding="utf-8"?>
<sst xmlns="http://schemas.openxmlformats.org/spreadsheetml/2006/main" count="85" uniqueCount="65">
  <si>
    <t>WindCad Turbine Performance Model</t>
  </si>
  <si>
    <t xml:space="preserve">Prepared For:    </t>
  </si>
  <si>
    <t xml:space="preserve">Site Location:    </t>
  </si>
  <si>
    <t xml:space="preserve">Data Source:    </t>
  </si>
  <si>
    <t xml:space="preserve">Date:    </t>
  </si>
  <si>
    <t>Inputs:</t>
  </si>
  <si>
    <t>Results:</t>
  </si>
  <si>
    <t xml:space="preserve">Ave. Wind (m/s) = </t>
  </si>
  <si>
    <t xml:space="preserve">Hub Average Wind Speed (m/s) = </t>
  </si>
  <si>
    <t xml:space="preserve">Weibull K = </t>
  </si>
  <si>
    <t xml:space="preserve">Air Density Factor = </t>
  </si>
  <si>
    <t xml:space="preserve">Site Altitude (m) = </t>
  </si>
  <si>
    <t xml:space="preserve">Average Output Power (kW) = </t>
  </si>
  <si>
    <t xml:space="preserve">Wind Shear Exp. = </t>
  </si>
  <si>
    <t xml:space="preserve">Daily Energy Output (kWh) = </t>
  </si>
  <si>
    <t xml:space="preserve">Anem. Height (m) = </t>
  </si>
  <si>
    <t xml:space="preserve">Annual Energy Output (kWh) = </t>
  </si>
  <si>
    <t xml:space="preserve">Tower Height (m) = </t>
  </si>
  <si>
    <t xml:space="preserve">Monthly Energy Output = </t>
  </si>
  <si>
    <t xml:space="preserve">Turbulence Factor = </t>
  </si>
  <si>
    <t xml:space="preserve">Percent Operating Time = </t>
  </si>
  <si>
    <t>Weibull Performance Calculations</t>
  </si>
  <si>
    <t>Wind Speed Bin (m/s)</t>
  </si>
  <si>
    <t>Power (kW)</t>
  </si>
  <si>
    <t>Wind Probability (f)</t>
  </si>
  <si>
    <t>Totals:</t>
  </si>
  <si>
    <t>SWCC</t>
  </si>
  <si>
    <t>Reference</t>
  </si>
  <si>
    <t>AWEA Standard</t>
  </si>
  <si>
    <t>weibull c</t>
  </si>
  <si>
    <t>Net kWh @ V</t>
  </si>
  <si>
    <t>average RPM</t>
  </si>
  <si>
    <t>Net kWh loss</t>
  </si>
  <si>
    <t>BWC 5kW, Grid - Intertie</t>
  </si>
  <si>
    <t>Tier/neo-SH3055-6.2m</t>
  </si>
  <si>
    <t>wire loss kW</t>
  </si>
  <si>
    <t>Tower Wire (AWG)</t>
  </si>
  <si>
    <t xml:space="preserve">Wire Run (AWG) = </t>
  </si>
  <si>
    <t>AWG</t>
  </si>
  <si>
    <t>ohms/1000'</t>
  </si>
  <si>
    <t>0</t>
  </si>
  <si>
    <t>00</t>
  </si>
  <si>
    <t>000</t>
  </si>
  <si>
    <t>6</t>
  </si>
  <si>
    <t>4</t>
  </si>
  <si>
    <t>1</t>
  </si>
  <si>
    <t>2</t>
  </si>
  <si>
    <t>3</t>
  </si>
  <si>
    <t>wire loss =</t>
  </si>
  <si>
    <t>8</t>
  </si>
  <si>
    <t>2011, BWC</t>
  </si>
  <si>
    <t xml:space="preserve">Distance to Tower (m) = </t>
  </si>
  <si>
    <r>
      <t xml:space="preserve">Total Phase Resistance </t>
    </r>
    <r>
      <rPr>
        <b/>
        <sz val="10"/>
        <rFont val="Calibri"/>
        <family val="2"/>
      </rPr>
      <t>Ω</t>
    </r>
    <r>
      <rPr>
        <b/>
        <sz val="10"/>
        <rFont val="Arial"/>
        <family val="2"/>
      </rPr>
      <t xml:space="preserve"> =</t>
    </r>
  </si>
  <si>
    <t>Annual Total kWh Wire Loss=</t>
  </si>
  <si>
    <t>tested with 28m awg 6and</t>
  </si>
  <si>
    <t>58.5 m #1</t>
  </si>
  <si>
    <t>ohms down tower</t>
  </si>
  <si>
    <t>total phase ohms</t>
  </si>
  <si>
    <t>wire run ohms</t>
  </si>
  <si>
    <t>for 3% energy losses in 5 m/s average</t>
  </si>
  <si>
    <t>wire run distance to base of tower (feet)</t>
  </si>
  <si>
    <t>for 1.5% energy losses in 5 m/s average</t>
  </si>
  <si>
    <t>for 6% energy losses in 5 m/s average</t>
  </si>
  <si>
    <t>5 KW WIRE RUN CHART</t>
  </si>
  <si>
    <t>tower height, feet (6awg)</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</si>
</sst>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0.0"/>
    <numFmt numFmtId="168" formatCode="#,#00"/>
    <numFmt numFmtId="169" formatCode="0.0000"/>
    <numFmt numFmtId="170" formatCode="0.00000"/>
    <numFmt numFmtId="171" formatCode="&quot;Yes&quot;;&quot;Yes&quot;;&quot;No&quot;"/>
    <numFmt numFmtId="172" formatCode="&quot;True&quot;;&quot;True&quot;;&quot;False&quot;"/>
    <numFmt numFmtId="173" formatCode="&quot;On&quot;;&quot;On&quot;;&quot;Off&quot;"/>
    <numFmt numFmtId="174" formatCode="[$€-2]\ #,##0.00_);[Red]\([$€-2]\ #,##0.00\)"/>
    <numFmt numFmtId="175" formatCode="0.00000000"/>
    <numFmt numFmtId="176" formatCode="0.0000000"/>
    <numFmt numFmtId="177" formatCode="0.000000"/>
    <numFmt numFmtId="178" formatCode="#,##0.0"/>
    <numFmt numFmtId="179" formatCode="#,##0.000"/>
    <numFmt numFmtId="180" formatCode="[$-409]dddd\,\ mmmm\ dd\,\ yyyy"/>
    <numFmt numFmtId="181" formatCode="[$-409]h:mm:ss\ AM/PM"/>
  </numFmts>
  <fonts count="56">
    <font>
      <sz val="10"/>
      <name val="Helv"/>
      <family val="0"/>
    </font>
    <font>
      <b/>
      <sz val="10"/>
      <name val="Geneva"/>
      <family val="0"/>
    </font>
    <font>
      <i/>
      <sz val="10"/>
      <name val="Geneva"/>
      <family val="0"/>
    </font>
    <font>
      <b/>
      <i/>
      <sz val="10"/>
      <name val="Geneva"/>
      <family val="0"/>
    </font>
    <font>
      <sz val="10"/>
      <name val="Geneva"/>
      <family val="0"/>
    </font>
    <font>
      <b/>
      <sz val="24"/>
      <name val="Arial"/>
      <family val="2"/>
    </font>
    <font>
      <sz val="10"/>
      <name val="Arial"/>
      <family val="2"/>
    </font>
    <font>
      <b/>
      <sz val="18"/>
      <name val="Arial"/>
      <family val="2"/>
    </font>
    <font>
      <b/>
      <sz val="10"/>
      <name val="Arial"/>
      <family val="2"/>
    </font>
    <font>
      <sz val="12"/>
      <name val="Arial"/>
      <family val="2"/>
    </font>
    <font>
      <sz val="11"/>
      <name val="Arial"/>
      <family val="2"/>
    </font>
    <font>
      <b/>
      <sz val="11"/>
      <name val="Arial"/>
      <family val="2"/>
    </font>
    <font>
      <b/>
      <sz val="9"/>
      <name val="Arial"/>
      <family val="2"/>
    </font>
    <font>
      <sz val="8"/>
      <name val="Arial"/>
      <family val="2"/>
    </font>
    <font>
      <sz val="9"/>
      <name val="Arial"/>
      <family val="2"/>
    </font>
    <font>
      <b/>
      <sz val="10"/>
      <name val="Calibri"/>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color indexed="8"/>
      <name val="Arial"/>
      <family val="0"/>
    </font>
    <font>
      <sz val="8"/>
      <color indexed="8"/>
      <name val="Arial"/>
      <family val="0"/>
    </font>
    <font>
      <b/>
      <sz val="8"/>
      <color indexed="8"/>
      <name val="Calibri"/>
      <family val="0"/>
    </font>
    <font>
      <sz val="8"/>
      <color indexed="8"/>
      <name val="Calibri"/>
      <family val="0"/>
    </font>
    <font>
      <b/>
      <i/>
      <sz val="8"/>
      <color indexed="8"/>
      <name val="Arial"/>
      <family val="0"/>
    </font>
    <font>
      <b/>
      <sz val="3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 fontId="4" fillId="0" borderId="0" applyFont="0" applyFill="0" applyBorder="0" applyAlignment="0" applyProtection="0"/>
    <xf numFmtId="41" fontId="6" fillId="0" borderId="0" applyFont="0" applyFill="0" applyBorder="0" applyAlignment="0" applyProtection="0"/>
    <xf numFmtId="8" fontId="4" fillId="0" borderId="0" applyFont="0" applyFill="0" applyBorder="0" applyAlignment="0" applyProtection="0"/>
    <xf numFmtId="42" fontId="6"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6"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52" fillId="27" borderId="8" applyNumberFormat="0" applyAlignment="0" applyProtection="0"/>
    <xf numFmtId="9" fontId="4"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4">
    <xf numFmtId="0" fontId="0" fillId="0" borderId="0" xfId="0" applyAlignment="1">
      <alignment/>
    </xf>
    <xf numFmtId="0" fontId="5" fillId="0" borderId="10" xfId="56" applyFont="1" applyBorder="1">
      <alignment/>
      <protection/>
    </xf>
    <xf numFmtId="0" fontId="6" fillId="0" borderId="10" xfId="56" applyFont="1" applyBorder="1">
      <alignment/>
      <protection/>
    </xf>
    <xf numFmtId="0" fontId="6" fillId="0" borderId="0" xfId="56" applyFont="1">
      <alignment/>
      <protection/>
    </xf>
    <xf numFmtId="0" fontId="7" fillId="0" borderId="11" xfId="56" applyFont="1" applyBorder="1">
      <alignment/>
      <protection/>
    </xf>
    <xf numFmtId="0" fontId="6" fillId="0" borderId="11" xfId="56" applyFont="1" applyBorder="1">
      <alignment/>
      <protection/>
    </xf>
    <xf numFmtId="0" fontId="6" fillId="0" borderId="12" xfId="56" applyFont="1" applyBorder="1">
      <alignment/>
      <protection/>
    </xf>
    <xf numFmtId="0" fontId="7" fillId="0" borderId="0" xfId="56" applyFont="1" applyBorder="1">
      <alignment/>
      <protection/>
    </xf>
    <xf numFmtId="0" fontId="6" fillId="0" borderId="13" xfId="56" applyFont="1" applyBorder="1">
      <alignment/>
      <protection/>
    </xf>
    <xf numFmtId="0" fontId="6" fillId="0" borderId="0" xfId="56" applyFont="1" applyBorder="1">
      <alignment/>
      <protection/>
    </xf>
    <xf numFmtId="0" fontId="6" fillId="0" borderId="14" xfId="56" applyFont="1" applyBorder="1" applyAlignment="1">
      <alignment horizontal="right"/>
      <protection/>
    </xf>
    <xf numFmtId="0" fontId="8" fillId="0" borderId="0" xfId="57" applyFont="1" applyAlignment="1">
      <alignment/>
      <protection/>
    </xf>
    <xf numFmtId="0" fontId="8" fillId="0" borderId="14" xfId="56" applyFont="1" applyBorder="1">
      <alignment/>
      <protection/>
    </xf>
    <xf numFmtId="0" fontId="6" fillId="0" borderId="14" xfId="56" applyFont="1" applyBorder="1">
      <alignment/>
      <protection/>
    </xf>
    <xf numFmtId="0" fontId="6" fillId="0" borderId="0" xfId="56" applyFont="1" applyBorder="1" applyAlignment="1">
      <alignment horizontal="right"/>
      <protection/>
    </xf>
    <xf numFmtId="0" fontId="8" fillId="0" borderId="0" xfId="56" applyFont="1" applyBorder="1">
      <alignment/>
      <protection/>
    </xf>
    <xf numFmtId="14" fontId="8" fillId="0" borderId="0" xfId="56" applyNumberFormat="1" applyFont="1" applyBorder="1" applyAlignment="1">
      <alignment horizontal="left"/>
      <protection/>
    </xf>
    <xf numFmtId="0" fontId="6" fillId="0" borderId="15" xfId="56" applyFont="1" applyBorder="1" applyAlignment="1">
      <alignment horizontal="right"/>
      <protection/>
    </xf>
    <xf numFmtId="14" fontId="8" fillId="0" borderId="15" xfId="56" applyNumberFormat="1" applyFont="1" applyBorder="1" applyAlignment="1">
      <alignment horizontal="left"/>
      <protection/>
    </xf>
    <xf numFmtId="0" fontId="6" fillId="0" borderId="15" xfId="56" applyFont="1" applyBorder="1">
      <alignment/>
      <protection/>
    </xf>
    <xf numFmtId="0" fontId="7" fillId="1" borderId="16" xfId="56" applyFont="1" applyFill="1" applyBorder="1" applyAlignment="1">
      <alignment horizontal="left"/>
      <protection/>
    </xf>
    <xf numFmtId="0" fontId="9" fillId="0" borderId="0" xfId="56" applyFont="1" applyBorder="1">
      <alignment/>
      <protection/>
    </xf>
    <xf numFmtId="0" fontId="6" fillId="1" borderId="17" xfId="56" applyFont="1" applyFill="1" applyBorder="1">
      <alignment/>
      <protection/>
    </xf>
    <xf numFmtId="0" fontId="6" fillId="1" borderId="18" xfId="56" applyFont="1" applyFill="1" applyBorder="1">
      <alignment/>
      <protection/>
    </xf>
    <xf numFmtId="0" fontId="8" fillId="0" borderId="19" xfId="56" applyFont="1" applyBorder="1" applyAlignment="1">
      <alignment horizontal="right"/>
      <protection/>
    </xf>
    <xf numFmtId="0" fontId="6" fillId="0" borderId="20" xfId="56" applyFont="1" applyBorder="1" applyAlignment="1">
      <alignment horizontal="left"/>
      <protection/>
    </xf>
    <xf numFmtId="0" fontId="6" fillId="0" borderId="0" xfId="56" applyFont="1" applyBorder="1" applyAlignment="1">
      <alignment horizontal="left"/>
      <protection/>
    </xf>
    <xf numFmtId="0" fontId="6" fillId="0" borderId="21" xfId="56" applyFont="1" applyBorder="1">
      <alignment/>
      <protection/>
    </xf>
    <xf numFmtId="2" fontId="6" fillId="0" borderId="0" xfId="56" applyNumberFormat="1" applyFont="1" applyAlignment="1">
      <alignment horizontal="left"/>
      <protection/>
    </xf>
    <xf numFmtId="2" fontId="6" fillId="0" borderId="20" xfId="56" applyNumberFormat="1" applyFont="1" applyBorder="1" applyAlignment="1">
      <alignment horizontal="left"/>
      <protection/>
    </xf>
    <xf numFmtId="0" fontId="8" fillId="0" borderId="21" xfId="56" applyFont="1" applyBorder="1" applyAlignment="1">
      <alignment horizontal="right"/>
      <protection/>
    </xf>
    <xf numFmtId="0" fontId="6" fillId="0" borderId="22" xfId="56" applyFont="1" applyBorder="1" applyAlignment="1">
      <alignment horizontal="left"/>
      <protection/>
    </xf>
    <xf numFmtId="9" fontId="6" fillId="0" borderId="22" xfId="56" applyNumberFormat="1" applyFont="1" applyBorder="1" applyAlignment="1">
      <alignment horizontal="left"/>
      <protection/>
    </xf>
    <xf numFmtId="3" fontId="6" fillId="0" borderId="22" xfId="56" applyNumberFormat="1" applyFont="1" applyBorder="1" applyAlignment="1">
      <alignment horizontal="left"/>
      <protection/>
    </xf>
    <xf numFmtId="3" fontId="6" fillId="0" borderId="0" xfId="56" applyNumberFormat="1" applyFont="1" applyBorder="1" applyAlignment="1">
      <alignment horizontal="left"/>
      <protection/>
    </xf>
    <xf numFmtId="2" fontId="6" fillId="0" borderId="22" xfId="56" applyNumberFormat="1" applyFont="1" applyBorder="1" applyAlignment="1">
      <alignment horizontal="left"/>
      <protection/>
    </xf>
    <xf numFmtId="166" fontId="6" fillId="0" borderId="22" xfId="56" applyNumberFormat="1" applyFont="1" applyBorder="1" applyAlignment="1">
      <alignment horizontal="left"/>
      <protection/>
    </xf>
    <xf numFmtId="2" fontId="6" fillId="0" borderId="0" xfId="56" applyNumberFormat="1" applyFont="1" applyBorder="1" applyAlignment="1">
      <alignment horizontal="left"/>
      <protection/>
    </xf>
    <xf numFmtId="0" fontId="6" fillId="0" borderId="23" xfId="56" applyFont="1" applyBorder="1">
      <alignment/>
      <protection/>
    </xf>
    <xf numFmtId="0" fontId="8" fillId="0" borderId="23" xfId="56" applyFont="1" applyBorder="1" applyAlignment="1">
      <alignment horizontal="right"/>
      <protection/>
    </xf>
    <xf numFmtId="167" fontId="6" fillId="0" borderId="15" xfId="56" applyNumberFormat="1" applyFont="1" applyBorder="1" applyAlignment="1">
      <alignment horizontal="left"/>
      <protection/>
    </xf>
    <xf numFmtId="167" fontId="6" fillId="0" borderId="24" xfId="56" applyNumberFormat="1" applyFont="1" applyBorder="1" applyAlignment="1">
      <alignment horizontal="left"/>
      <protection/>
    </xf>
    <xf numFmtId="164" fontId="6" fillId="0" borderId="24" xfId="56" applyNumberFormat="1" applyFont="1" applyBorder="1" applyAlignment="1">
      <alignment horizontal="left"/>
      <protection/>
    </xf>
    <xf numFmtId="164" fontId="6" fillId="0" borderId="0" xfId="56" applyNumberFormat="1" applyFont="1" applyBorder="1" applyAlignment="1">
      <alignment horizontal="left"/>
      <protection/>
    </xf>
    <xf numFmtId="164" fontId="6" fillId="0" borderId="15" xfId="56" applyNumberFormat="1" applyFont="1" applyBorder="1" applyAlignment="1">
      <alignment horizontal="left"/>
      <protection/>
    </xf>
    <xf numFmtId="0" fontId="8" fillId="0" borderId="14" xfId="56" applyFont="1" applyBorder="1" applyAlignment="1">
      <alignment horizontal="right"/>
      <protection/>
    </xf>
    <xf numFmtId="0" fontId="8" fillId="0" borderId="0" xfId="56" applyFont="1" applyBorder="1" applyAlignment="1">
      <alignment horizontal="right"/>
      <protection/>
    </xf>
    <xf numFmtId="0" fontId="6" fillId="0" borderId="25" xfId="56" applyFont="1" applyBorder="1">
      <alignment/>
      <protection/>
    </xf>
    <xf numFmtId="0" fontId="8" fillId="0" borderId="0" xfId="56" applyFont="1">
      <alignment/>
      <protection/>
    </xf>
    <xf numFmtId="0" fontId="12" fillId="0" borderId="0" xfId="56" applyFont="1">
      <alignment/>
      <protection/>
    </xf>
    <xf numFmtId="0" fontId="13" fillId="0" borderId="26" xfId="56" applyFont="1" applyBorder="1" applyAlignment="1">
      <alignment horizontal="center"/>
      <protection/>
    </xf>
    <xf numFmtId="0" fontId="13" fillId="0" borderId="27" xfId="56" applyFont="1" applyBorder="1" applyAlignment="1">
      <alignment horizontal="center"/>
      <protection/>
    </xf>
    <xf numFmtId="0" fontId="13" fillId="0" borderId="28" xfId="56" applyFont="1" applyBorder="1" applyAlignment="1">
      <alignment horizontal="center"/>
      <protection/>
    </xf>
    <xf numFmtId="0" fontId="14" fillId="0" borderId="0" xfId="56" applyFont="1" applyBorder="1" applyAlignment="1">
      <alignment horizontal="center"/>
      <protection/>
    </xf>
    <xf numFmtId="0" fontId="14" fillId="0" borderId="0" xfId="56" applyFont="1">
      <alignment/>
      <protection/>
    </xf>
    <xf numFmtId="0" fontId="13" fillId="0" borderId="21" xfId="56" applyFont="1" applyBorder="1" applyAlignment="1">
      <alignment horizontal="center"/>
      <protection/>
    </xf>
    <xf numFmtId="10" fontId="14" fillId="0" borderId="0" xfId="56" applyNumberFormat="1" applyFont="1" applyBorder="1" applyAlignment="1">
      <alignment horizontal="center"/>
      <protection/>
    </xf>
    <xf numFmtId="3" fontId="13" fillId="0" borderId="15" xfId="56" applyNumberFormat="1" applyFont="1" applyBorder="1" applyAlignment="1">
      <alignment horizontal="center"/>
      <protection/>
    </xf>
    <xf numFmtId="0" fontId="14" fillId="0" borderId="25" xfId="56" applyFont="1" applyBorder="1" applyAlignment="1">
      <alignment horizontal="center"/>
      <protection/>
    </xf>
    <xf numFmtId="0" fontId="13" fillId="0" borderId="0" xfId="56" applyFont="1" applyBorder="1" applyAlignment="1">
      <alignment horizontal="center"/>
      <protection/>
    </xf>
    <xf numFmtId="2" fontId="13" fillId="0" borderId="21" xfId="56" applyNumberFormat="1" applyFont="1" applyBorder="1" applyAlignment="1">
      <alignment horizontal="center"/>
      <protection/>
    </xf>
    <xf numFmtId="1" fontId="13" fillId="0" borderId="20" xfId="56" applyNumberFormat="1" applyFont="1" applyBorder="1" applyAlignment="1">
      <alignment horizontal="center"/>
      <protection/>
    </xf>
    <xf numFmtId="1" fontId="13" fillId="0" borderId="22" xfId="56" applyNumberFormat="1" applyFont="1" applyBorder="1" applyAlignment="1">
      <alignment horizontal="center"/>
      <protection/>
    </xf>
    <xf numFmtId="9" fontId="14" fillId="0" borderId="0" xfId="60" applyFont="1" applyBorder="1" applyAlignment="1">
      <alignment/>
    </xf>
    <xf numFmtId="49" fontId="6" fillId="0" borderId="0" xfId="0" applyNumberFormat="1" applyFont="1" applyAlignment="1">
      <alignment horizontal="center" vertical="center"/>
    </xf>
    <xf numFmtId="49" fontId="6" fillId="0" borderId="0" xfId="0" applyNumberFormat="1" applyFont="1" applyAlignment="1" quotePrefix="1">
      <alignment horizontal="center" vertical="center"/>
    </xf>
    <xf numFmtId="164" fontId="6" fillId="0" borderId="22" xfId="56" applyNumberFormat="1" applyFont="1" applyBorder="1" applyAlignment="1">
      <alignment horizontal="left"/>
      <protection/>
    </xf>
    <xf numFmtId="0" fontId="6" fillId="0" borderId="19" xfId="56" applyFont="1" applyBorder="1">
      <alignment/>
      <protection/>
    </xf>
    <xf numFmtId="9" fontId="6" fillId="0" borderId="14" xfId="56" applyNumberFormat="1" applyFont="1" applyBorder="1" applyAlignment="1">
      <alignment horizontal="left"/>
      <protection/>
    </xf>
    <xf numFmtId="3" fontId="6" fillId="0" borderId="20" xfId="56" applyNumberFormat="1" applyFont="1" applyBorder="1" applyAlignment="1">
      <alignment horizontal="left"/>
      <protection/>
    </xf>
    <xf numFmtId="9" fontId="6" fillId="0" borderId="0" xfId="56" applyNumberFormat="1" applyFont="1" applyBorder="1" applyAlignment="1">
      <alignment horizontal="left"/>
      <protection/>
    </xf>
    <xf numFmtId="49" fontId="6" fillId="0" borderId="0" xfId="0" applyNumberFormat="1" applyFont="1" applyAlignment="1">
      <alignment horizontal="left" vertical="center"/>
    </xf>
    <xf numFmtId="164" fontId="6" fillId="0" borderId="24" xfId="60" applyNumberFormat="1" applyFont="1" applyBorder="1" applyAlignment="1">
      <alignment horizontal="left"/>
    </xf>
    <xf numFmtId="0" fontId="7" fillId="1" borderId="19" xfId="56" applyFont="1" applyFill="1" applyBorder="1" applyAlignment="1">
      <alignment horizontal="left"/>
      <protection/>
    </xf>
    <xf numFmtId="0" fontId="9" fillId="1" borderId="20" xfId="56" applyFont="1" applyFill="1" applyBorder="1">
      <alignment/>
      <protection/>
    </xf>
    <xf numFmtId="49" fontId="6" fillId="0" borderId="22" xfId="0" applyNumberFormat="1" applyFont="1" applyBorder="1" applyAlignment="1">
      <alignment horizontal="left" vertical="center"/>
    </xf>
    <xf numFmtId="0" fontId="10" fillId="0" borderId="19" xfId="56" applyFont="1" applyBorder="1">
      <alignment/>
      <protection/>
    </xf>
    <xf numFmtId="0" fontId="11" fillId="0" borderId="19" xfId="56" applyFont="1" applyBorder="1" applyAlignment="1">
      <alignment horizontal="right"/>
      <protection/>
    </xf>
    <xf numFmtId="3" fontId="10" fillId="0" borderId="14" xfId="56" applyNumberFormat="1" applyFont="1" applyBorder="1" applyAlignment="1">
      <alignment horizontal="left"/>
      <protection/>
    </xf>
    <xf numFmtId="3" fontId="11" fillId="0" borderId="20" xfId="56" applyNumberFormat="1" applyFont="1" applyBorder="1" applyAlignment="1">
      <alignment horizontal="left"/>
      <protection/>
    </xf>
    <xf numFmtId="179" fontId="6" fillId="0" borderId="22" xfId="56" applyNumberFormat="1" applyFont="1" applyBorder="1" applyAlignment="1">
      <alignment horizontal="left"/>
      <protection/>
    </xf>
    <xf numFmtId="0" fontId="8" fillId="0" borderId="15" xfId="56" applyFont="1" applyBorder="1" applyAlignment="1">
      <alignment horizontal="right"/>
      <protection/>
    </xf>
    <xf numFmtId="1" fontId="13" fillId="0" borderId="28" xfId="56" applyNumberFormat="1" applyFont="1" applyBorder="1" applyAlignment="1">
      <alignment horizontal="center"/>
      <protection/>
    </xf>
    <xf numFmtId="10" fontId="14" fillId="0" borderId="26" xfId="56" applyNumberFormat="1" applyFont="1" applyBorder="1" applyAlignment="1">
      <alignment horizontal="center"/>
      <protection/>
    </xf>
    <xf numFmtId="0" fontId="13" fillId="0" borderId="26" xfId="56" applyFont="1" applyBorder="1" applyAlignment="1">
      <alignment horizontal="right"/>
      <protection/>
    </xf>
    <xf numFmtId="0" fontId="13" fillId="0" borderId="27" xfId="56" applyFont="1" applyBorder="1">
      <alignment/>
      <protection/>
    </xf>
    <xf numFmtId="10" fontId="13" fillId="0" borderId="27" xfId="56" applyNumberFormat="1" applyFont="1" applyBorder="1" applyAlignment="1">
      <alignment horizontal="center"/>
      <protection/>
    </xf>
    <xf numFmtId="0" fontId="6" fillId="0" borderId="17" xfId="56" applyFont="1" applyBorder="1">
      <alignment/>
      <protection/>
    </xf>
    <xf numFmtId="0" fontId="6" fillId="0" borderId="11" xfId="56" applyFont="1" applyBorder="1" applyAlignment="1">
      <alignment horizontal="right"/>
      <protection/>
    </xf>
    <xf numFmtId="164" fontId="6" fillId="0" borderId="11" xfId="56" applyNumberFormat="1" applyFont="1" applyBorder="1" applyAlignment="1">
      <alignment horizontal="left"/>
      <protection/>
    </xf>
    <xf numFmtId="0" fontId="14" fillId="0" borderId="14" xfId="56" applyFont="1" applyBorder="1" applyAlignment="1">
      <alignment horizontal="center"/>
      <protection/>
    </xf>
    <xf numFmtId="10" fontId="13" fillId="0" borderId="0" xfId="56" applyNumberFormat="1" applyFont="1" applyBorder="1" applyAlignment="1">
      <alignment horizontal="center"/>
      <protection/>
    </xf>
    <xf numFmtId="3" fontId="13" fillId="0" borderId="0" xfId="56" applyNumberFormat="1" applyFont="1" applyBorder="1" applyAlignment="1">
      <alignment horizontal="center"/>
      <protection/>
    </xf>
    <xf numFmtId="166" fontId="14" fillId="0" borderId="0" xfId="56" applyNumberFormat="1" applyFont="1" applyBorder="1" applyAlignment="1">
      <alignment horizontal="center"/>
      <protection/>
    </xf>
    <xf numFmtId="0" fontId="13" fillId="0" borderId="23" xfId="56" applyFont="1" applyBorder="1">
      <alignment/>
      <protection/>
    </xf>
    <xf numFmtId="0" fontId="14" fillId="0" borderId="15" xfId="56" applyFont="1" applyBorder="1">
      <alignment/>
      <protection/>
    </xf>
    <xf numFmtId="1" fontId="6" fillId="0" borderId="22" xfId="56" applyNumberFormat="1" applyFont="1" applyBorder="1" applyAlignment="1">
      <alignment horizontal="left"/>
      <protection/>
    </xf>
    <xf numFmtId="2" fontId="13" fillId="0" borderId="19" xfId="56" applyNumberFormat="1" applyFont="1" applyBorder="1" applyAlignment="1">
      <alignment horizontal="center"/>
      <protection/>
    </xf>
    <xf numFmtId="2" fontId="13" fillId="0" borderId="23" xfId="56" applyNumberFormat="1" applyFont="1" applyBorder="1" applyAlignment="1">
      <alignment horizontal="center"/>
      <protection/>
    </xf>
    <xf numFmtId="1" fontId="13" fillId="0" borderId="24" xfId="56" applyNumberFormat="1" applyFont="1" applyBorder="1" applyAlignment="1">
      <alignment horizontal="center"/>
      <protection/>
    </xf>
    <xf numFmtId="2" fontId="14" fillId="0" borderId="0" xfId="56" applyNumberFormat="1" applyFont="1">
      <alignment/>
      <protection/>
    </xf>
    <xf numFmtId="0" fontId="6" fillId="0" borderId="0" xfId="55">
      <alignment/>
      <protection/>
    </xf>
    <xf numFmtId="49" fontId="6" fillId="0" borderId="0" xfId="55" applyNumberFormat="1" applyFont="1" applyAlignment="1">
      <alignment horizontal="center" vertical="center"/>
      <protection/>
    </xf>
    <xf numFmtId="49" fontId="6" fillId="0" borderId="0" xfId="55" applyNumberFormat="1" applyFont="1" applyAlignment="1" quotePrefix="1">
      <alignment horizontal="center" vertical="center"/>
      <protection/>
    </xf>
    <xf numFmtId="0" fontId="6" fillId="0" borderId="29" xfId="55" applyBorder="1" applyAlignment="1">
      <alignment horizontal="center"/>
      <protection/>
    </xf>
    <xf numFmtId="0" fontId="6" fillId="0" borderId="29" xfId="55" applyBorder="1">
      <alignment/>
      <protection/>
    </xf>
    <xf numFmtId="1" fontId="6" fillId="0" borderId="29" xfId="55" applyNumberFormat="1" applyBorder="1" applyAlignment="1">
      <alignment horizontal="center"/>
      <protection/>
    </xf>
    <xf numFmtId="0" fontId="6" fillId="0" borderId="30" xfId="55" applyBorder="1" applyAlignment="1">
      <alignment horizontal="center"/>
      <protection/>
    </xf>
    <xf numFmtId="0" fontId="6" fillId="0" borderId="31" xfId="55" applyBorder="1" applyAlignment="1">
      <alignment horizontal="center"/>
      <protection/>
    </xf>
    <xf numFmtId="0" fontId="6" fillId="0" borderId="30" xfId="55" applyBorder="1">
      <alignment/>
      <protection/>
    </xf>
    <xf numFmtId="0" fontId="6" fillId="0" borderId="31" xfId="55" applyBorder="1">
      <alignment/>
      <protection/>
    </xf>
    <xf numFmtId="0" fontId="6" fillId="0" borderId="30" xfId="55" applyBorder="1" applyAlignment="1">
      <alignment horizontal="center" vertical="center"/>
      <protection/>
    </xf>
    <xf numFmtId="1" fontId="6" fillId="0" borderId="31" xfId="55" applyNumberFormat="1" applyBorder="1" applyAlignment="1">
      <alignment horizontal="center"/>
      <protection/>
    </xf>
    <xf numFmtId="0" fontId="6" fillId="0" borderId="32" xfId="55" applyBorder="1" applyAlignment="1">
      <alignment horizontal="center" vertical="center"/>
      <protection/>
    </xf>
    <xf numFmtId="1" fontId="6" fillId="0" borderId="33" xfId="55" applyNumberFormat="1" applyBorder="1" applyAlignment="1">
      <alignment horizontal="center"/>
      <protection/>
    </xf>
    <xf numFmtId="1" fontId="6" fillId="0" borderId="34" xfId="55" applyNumberFormat="1" applyBorder="1" applyAlignment="1">
      <alignment horizontal="center"/>
      <protection/>
    </xf>
    <xf numFmtId="0" fontId="6" fillId="0" borderId="30" xfId="55" applyFont="1" applyBorder="1" applyAlignment="1">
      <alignment horizontal="center"/>
      <protection/>
    </xf>
    <xf numFmtId="0" fontId="16" fillId="0" borderId="0" xfId="55" applyFont="1" applyAlignment="1">
      <alignment horizontal="center"/>
      <protection/>
    </xf>
    <xf numFmtId="0" fontId="6" fillId="0" borderId="0" xfId="55" applyAlignment="1">
      <alignment horizontal="center"/>
      <protection/>
    </xf>
    <xf numFmtId="0" fontId="6" fillId="0" borderId="29" xfId="55" applyBorder="1" applyAlignment="1">
      <alignment horizontal="center"/>
      <protection/>
    </xf>
    <xf numFmtId="0" fontId="6" fillId="0" borderId="31" xfId="55" applyBorder="1" applyAlignment="1">
      <alignment horizontal="center"/>
      <protection/>
    </xf>
    <xf numFmtId="0" fontId="6" fillId="0" borderId="35" xfId="55" applyBorder="1" applyAlignment="1">
      <alignment horizontal="center"/>
      <protection/>
    </xf>
    <xf numFmtId="0" fontId="6" fillId="0" borderId="36" xfId="55" applyBorder="1" applyAlignment="1">
      <alignment horizontal="center"/>
      <protection/>
    </xf>
    <xf numFmtId="0" fontId="6" fillId="0" borderId="37" xfId="55"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ExcelS" xfId="56"/>
    <cellStyle name="Normal_WindCAD.Excel.S.200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3</xdr:row>
      <xdr:rowOff>28575</xdr:rowOff>
    </xdr:from>
    <xdr:to>
      <xdr:col>11</xdr:col>
      <xdr:colOff>571500</xdr:colOff>
      <xdr:row>20</xdr:row>
      <xdr:rowOff>133350</xdr:rowOff>
    </xdr:to>
    <xdr:sp>
      <xdr:nvSpPr>
        <xdr:cNvPr id="1" name="Text 1"/>
        <xdr:cNvSpPr txBox="1">
          <a:spLocks noChangeArrowheads="1"/>
        </xdr:cNvSpPr>
      </xdr:nvSpPr>
      <xdr:spPr>
        <a:xfrm>
          <a:off x="5467350" y="847725"/>
          <a:ext cx="1781175" cy="3438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Weibull Calculations: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Wind speed probability is calculated as a Weibull curve defined by the average wind speed and a shape factor, K. To facilitate piece-wise integration, the wind speed range is broken down into "bins" of 1 m/s in width (Column 1). For each wind speed bin, instantaneous wind turbine power (W, Column 2)) is multiplied by the Weibull wind speed probability (f, Column 3). This cross product (Net W, Column 4) is the contribution to average turbine power output contributed by wind speeds in that bin.  The sum of these contributions is the average power output of the turbine on a continuous, 24 hour, basis.
</a:t>
          </a:r>
          <a:r>
            <a:rPr lang="en-US" cap="none" sz="800" b="0" i="0" u="none" baseline="0">
              <a:solidFill>
                <a:srgbClr val="000000"/>
              </a:solidFill>
              <a:latin typeface="Arial"/>
              <a:ea typeface="Arial"/>
              <a:cs typeface="Arial"/>
            </a:rPr>
            <a:t>Best results are achieved using annual or monthly average wind speeds. Use of daily or hourly average speeds is not recommended.
</a:t>
          </a:r>
          <a:r>
            <a:rPr lang="en-US" cap="none" sz="800" b="1" i="0" u="none" baseline="0">
              <a:solidFill>
                <a:srgbClr val="000000"/>
              </a:solidFill>
              <a:latin typeface="Calibri"/>
              <a:ea typeface="Calibri"/>
              <a:cs typeface="Calibri"/>
            </a:rPr>
            <a:t>Wire</a:t>
          </a:r>
          <a:r>
            <a:rPr lang="en-US" cap="none" sz="800" b="1" i="0" u="none" baseline="0">
              <a:solidFill>
                <a:srgbClr val="000000"/>
              </a:solidFill>
              <a:latin typeface="Calibri"/>
              <a:ea typeface="Calibri"/>
              <a:cs typeface="Calibri"/>
            </a:rPr>
            <a:t> Run Losses</a:t>
          </a:r>
          <a:r>
            <a:rPr lang="en-US" cap="none" sz="800" b="1"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AWG 6 is supplied for armored cable tower wire runs</a:t>
          </a:r>
          <a:r>
            <a:rPr lang="en-US" cap="none" sz="800" b="0" i="0" u="none" baseline="0">
              <a:solidFill>
                <a:srgbClr val="000000"/>
              </a:solidFill>
              <a:latin typeface="Arial"/>
              <a:ea typeface="Arial"/>
              <a:cs typeface="Arial"/>
            </a:rPr>
            <a:t> from BWC.  Tower wire run typically underground in conduit.  </a:t>
          </a:r>
          <a:r>
            <a:rPr lang="en-US" cap="none" sz="800" b="1" i="0" u="none" baseline="0">
              <a:solidFill>
                <a:srgbClr val="000000"/>
              </a:solidFill>
              <a:latin typeface="Arial"/>
              <a:ea typeface="Arial"/>
              <a:cs typeface="Arial"/>
            </a:rPr>
            <a:t>Keep inverter near grid connection to avoid difficulties with grid side overvoltage errors ! ! ! ! ! ! </a:t>
          </a:r>
        </a:p>
      </xdr:txBody>
    </xdr:sp>
    <xdr:clientData/>
  </xdr:twoCellAnchor>
  <xdr:twoCellAnchor>
    <xdr:from>
      <xdr:col>0</xdr:col>
      <xdr:colOff>0</xdr:colOff>
      <xdr:row>63</xdr:row>
      <xdr:rowOff>47625</xdr:rowOff>
    </xdr:from>
    <xdr:to>
      <xdr:col>8</xdr:col>
      <xdr:colOff>428625</xdr:colOff>
      <xdr:row>81</xdr:row>
      <xdr:rowOff>114300</xdr:rowOff>
    </xdr:to>
    <xdr:sp>
      <xdr:nvSpPr>
        <xdr:cNvPr id="2" name="Text 2"/>
        <xdr:cNvSpPr txBox="1">
          <a:spLocks noChangeArrowheads="1"/>
        </xdr:cNvSpPr>
      </xdr:nvSpPr>
      <xdr:spPr>
        <a:xfrm>
          <a:off x="0" y="10715625"/>
          <a:ext cx="6381750" cy="29908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Instructions: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Inputs:</a:t>
          </a:r>
          <a:r>
            <a:rPr lang="en-US" cap="none" sz="800" b="0" i="0" u="none" baseline="0">
              <a:solidFill>
                <a:srgbClr val="000000"/>
              </a:solidFill>
              <a:latin typeface="Arial"/>
              <a:ea typeface="Arial"/>
              <a:cs typeface="Arial"/>
            </a:rPr>
            <a:t>   Use annual or monthly </a:t>
          </a:r>
          <a:r>
            <a:rPr lang="en-US" cap="none" sz="800" b="1" i="0" u="none" baseline="0">
              <a:solidFill>
                <a:srgbClr val="000000"/>
              </a:solidFill>
              <a:latin typeface="Arial"/>
              <a:ea typeface="Arial"/>
              <a:cs typeface="Arial"/>
            </a:rPr>
            <a:t>Average Wind</a:t>
          </a:r>
          <a:r>
            <a:rPr lang="en-US" cap="none" sz="800" b="0" i="0" u="none" baseline="0">
              <a:solidFill>
                <a:srgbClr val="000000"/>
              </a:solidFill>
              <a:latin typeface="Arial"/>
              <a:ea typeface="Arial"/>
              <a:cs typeface="Arial"/>
            </a:rPr>
            <a:t> speeds.  If </a:t>
          </a:r>
          <a:r>
            <a:rPr lang="en-US" cap="none" sz="800" b="1" i="0" u="none" baseline="0">
              <a:solidFill>
                <a:srgbClr val="000000"/>
              </a:solidFill>
              <a:latin typeface="Arial"/>
              <a:ea typeface="Arial"/>
              <a:cs typeface="Arial"/>
            </a:rPr>
            <a:t>Weibull K</a:t>
          </a:r>
          <a:r>
            <a:rPr lang="en-US" cap="none" sz="800" b="0" i="0" u="none" baseline="0">
              <a:solidFill>
                <a:srgbClr val="000000"/>
              </a:solidFill>
              <a:latin typeface="Arial"/>
              <a:ea typeface="Arial"/>
              <a:cs typeface="Arial"/>
            </a:rPr>
            <a:t> is not known, use K = 2 for inland sites, use 3 for coastal sites, and use 4 for island sites and trade wind regimes. </a:t>
          </a:r>
          <a:r>
            <a:rPr lang="en-US" cap="none" sz="800" b="1" i="0" u="none" baseline="0">
              <a:solidFill>
                <a:srgbClr val="000000"/>
              </a:solidFill>
              <a:latin typeface="Arial"/>
              <a:ea typeface="Arial"/>
              <a:cs typeface="Arial"/>
            </a:rPr>
            <a:t>Site Altitude</a:t>
          </a:r>
          <a:r>
            <a:rPr lang="en-US" cap="none" sz="800" b="0" i="0" u="none" baseline="0">
              <a:solidFill>
                <a:srgbClr val="000000"/>
              </a:solidFill>
              <a:latin typeface="Arial"/>
              <a:ea typeface="Arial"/>
              <a:cs typeface="Arial"/>
            </a:rPr>
            <a:t> is meters above sea level. </a:t>
          </a:r>
          <a:r>
            <a:rPr lang="en-US" cap="none" sz="800" b="1" i="0" u="none" baseline="0">
              <a:solidFill>
                <a:srgbClr val="000000"/>
              </a:solidFill>
              <a:latin typeface="Arial"/>
              <a:ea typeface="Arial"/>
              <a:cs typeface="Arial"/>
            </a:rPr>
            <a:t> Wind Shear Exponent</a:t>
          </a:r>
          <a:r>
            <a:rPr lang="en-US" cap="none" sz="800" b="0" i="0" u="none" baseline="0">
              <a:solidFill>
                <a:srgbClr val="000000"/>
              </a:solidFill>
              <a:latin typeface="Arial"/>
              <a:ea typeface="Arial"/>
              <a:cs typeface="Arial"/>
            </a:rPr>
            <a:t> is best assumed as 0.18.  For rough terrain or high turbulence use 0.22.  For very smooth terrain or open water use 0.11.  </a:t>
          </a:r>
          <a:r>
            <a:rPr lang="en-US" cap="none" sz="800" b="1" i="0" u="none" baseline="0">
              <a:solidFill>
                <a:srgbClr val="000000"/>
              </a:solidFill>
              <a:latin typeface="Arial"/>
              <a:ea typeface="Arial"/>
              <a:cs typeface="Arial"/>
            </a:rPr>
            <a:t>Anemometer Height</a:t>
          </a:r>
          <a:r>
            <a:rPr lang="en-US" cap="none" sz="800" b="0" i="0" u="none" baseline="0">
              <a:solidFill>
                <a:srgbClr val="000000"/>
              </a:solidFill>
              <a:latin typeface="Arial"/>
              <a:ea typeface="Arial"/>
              <a:cs typeface="Arial"/>
            </a:rPr>
            <a:t> is for the data used for the </a:t>
          </a:r>
          <a:r>
            <a:rPr lang="en-US" cap="none" sz="800" b="1" i="0" u="none" baseline="0">
              <a:solidFill>
                <a:srgbClr val="000000"/>
              </a:solidFill>
              <a:latin typeface="Arial"/>
              <a:ea typeface="Arial"/>
              <a:cs typeface="Arial"/>
            </a:rPr>
            <a:t>Average Wind</a:t>
          </a:r>
          <a:r>
            <a:rPr lang="en-US" cap="none" sz="800" b="0" i="0" u="none" baseline="0">
              <a:solidFill>
                <a:srgbClr val="000000"/>
              </a:solidFill>
              <a:latin typeface="Arial"/>
              <a:ea typeface="Arial"/>
              <a:cs typeface="Arial"/>
            </a:rPr>
            <a:t> speed.  If unknown, use 10 meters.  </a:t>
          </a:r>
          <a:r>
            <a:rPr lang="en-US" cap="none" sz="800" b="1" i="0" u="none" baseline="0">
              <a:solidFill>
                <a:srgbClr val="000000"/>
              </a:solidFill>
              <a:latin typeface="Arial"/>
              <a:ea typeface="Arial"/>
              <a:cs typeface="Arial"/>
            </a:rPr>
            <a:t>Tower Height</a:t>
          </a:r>
          <a:r>
            <a:rPr lang="en-US" cap="none" sz="800" b="0" i="0" u="none" baseline="0">
              <a:solidFill>
                <a:srgbClr val="000000"/>
              </a:solidFill>
              <a:latin typeface="Arial"/>
              <a:ea typeface="Arial"/>
              <a:cs typeface="Arial"/>
            </a:rPr>
            <a:t> is the nominal height of the tower, eg.: 24 meters.  </a:t>
          </a:r>
          <a:r>
            <a:rPr lang="en-US" cap="none" sz="800" b="1" i="0" u="none" baseline="0">
              <a:solidFill>
                <a:srgbClr val="000000"/>
              </a:solidFill>
              <a:latin typeface="Arial"/>
              <a:ea typeface="Arial"/>
              <a:cs typeface="Arial"/>
            </a:rPr>
            <a:t>Turbulence Factor</a:t>
          </a:r>
          <a:r>
            <a:rPr lang="en-US" cap="none" sz="800" b="0" i="0" u="none" baseline="0">
              <a:solidFill>
                <a:srgbClr val="000000"/>
              </a:solidFill>
              <a:latin typeface="Arial"/>
              <a:ea typeface="Arial"/>
              <a:cs typeface="Arial"/>
            </a:rPr>
            <a:t> is a derating for turbulence, site variability, and other performance influencing factors -- typical turbulence has already been incorporated into the model.  Use 0.00 (0%) for level sites with limited obstructions.  Use -0.10 ( negative 10%) for flat, clear sites on open water. Use  0.05 to 0.15 (5% to 15%) for rolling hills or mountainous terrain.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Results: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Hub Average Wind Speed</a:t>
          </a:r>
          <a:r>
            <a:rPr lang="en-US" cap="none" sz="800" b="0" i="0" u="none" baseline="0">
              <a:solidFill>
                <a:srgbClr val="000000"/>
              </a:solidFill>
              <a:latin typeface="Arial"/>
              <a:ea typeface="Arial"/>
              <a:cs typeface="Arial"/>
            </a:rPr>
            <a:t> is corrected for wind shear and used to calculate the Weibull wind speed probability.  </a:t>
          </a:r>
          <a:r>
            <a:rPr lang="en-US" cap="none" sz="800" b="1" i="0" u="none" baseline="0">
              <a:solidFill>
                <a:srgbClr val="000000"/>
              </a:solidFill>
              <a:latin typeface="Arial"/>
              <a:ea typeface="Arial"/>
              <a:cs typeface="Arial"/>
            </a:rPr>
            <a:t>Air Density Factor</a:t>
          </a:r>
          <a:r>
            <a:rPr lang="en-US" cap="none" sz="800" b="0" i="0" u="none" baseline="0">
              <a:solidFill>
                <a:srgbClr val="000000"/>
              </a:solidFill>
              <a:latin typeface="Arial"/>
              <a:ea typeface="Arial"/>
              <a:cs typeface="Arial"/>
            </a:rPr>
            <a:t> is the reduction from sea level performance. </a:t>
          </a:r>
          <a:r>
            <a:rPr lang="en-US" cap="none" sz="800" b="1" i="0" u="none" baseline="0">
              <a:solidFill>
                <a:srgbClr val="000000"/>
              </a:solidFill>
              <a:latin typeface="Arial"/>
              <a:ea typeface="Arial"/>
              <a:cs typeface="Arial"/>
            </a:rPr>
            <a:t> Average Power Output</a:t>
          </a:r>
          <a:r>
            <a:rPr lang="en-US" cap="none" sz="800" b="0" i="0" u="none" baseline="0">
              <a:solidFill>
                <a:srgbClr val="000000"/>
              </a:solidFill>
              <a:latin typeface="Arial"/>
              <a:ea typeface="Arial"/>
              <a:cs typeface="Arial"/>
            </a:rPr>
            <a:t> is the average continuous equivalent output of the turbine. </a:t>
          </a:r>
          <a:r>
            <a:rPr lang="en-US" cap="none" sz="800" b="1" i="0" u="none" baseline="0">
              <a:solidFill>
                <a:srgbClr val="000000"/>
              </a:solidFill>
              <a:latin typeface="Arial"/>
              <a:ea typeface="Arial"/>
              <a:cs typeface="Arial"/>
            </a:rPr>
            <a:t> Daily Energy Output</a:t>
          </a:r>
          <a:r>
            <a:rPr lang="en-US" cap="none" sz="800" b="0" i="0" u="none" baseline="0">
              <a:solidFill>
                <a:srgbClr val="000000"/>
              </a:solidFill>
              <a:latin typeface="Arial"/>
              <a:ea typeface="Arial"/>
              <a:cs typeface="Arial"/>
            </a:rPr>
            <a:t> is the average energy produced per day. </a:t>
          </a:r>
          <a:r>
            <a:rPr lang="en-US" cap="none" sz="800" b="1" i="0" u="none" baseline="0">
              <a:solidFill>
                <a:srgbClr val="000000"/>
              </a:solidFill>
              <a:latin typeface="Arial"/>
              <a:ea typeface="Arial"/>
              <a:cs typeface="Arial"/>
            </a:rPr>
            <a:t> Annual</a:t>
          </a:r>
          <a:r>
            <a:rPr lang="en-US" cap="none" sz="800" b="0" i="0" u="none" baseline="0">
              <a:solidFill>
                <a:srgbClr val="000000"/>
              </a:solidFill>
              <a:latin typeface="Arial"/>
              <a:ea typeface="Arial"/>
              <a:cs typeface="Arial"/>
            </a:rPr>
            <a:t> and</a:t>
          </a:r>
          <a:r>
            <a:rPr lang="en-US" cap="none" sz="800" b="1" i="0" u="none" baseline="0">
              <a:solidFill>
                <a:srgbClr val="000000"/>
              </a:solidFill>
              <a:latin typeface="Arial"/>
              <a:ea typeface="Arial"/>
              <a:cs typeface="Arial"/>
            </a:rPr>
            <a:t> Monthly Energy Outputs</a:t>
          </a:r>
          <a:r>
            <a:rPr lang="en-US" cap="none" sz="800" b="0" i="0" u="none" baseline="0">
              <a:solidFill>
                <a:srgbClr val="000000"/>
              </a:solidFill>
              <a:latin typeface="Arial"/>
              <a:ea typeface="Arial"/>
              <a:cs typeface="Arial"/>
            </a:rPr>
            <a:t> are calculated using the Daily value.  </a:t>
          </a:r>
          <a:r>
            <a:rPr lang="en-US" cap="none" sz="800" b="1" i="0" u="none" baseline="0">
              <a:solidFill>
                <a:srgbClr val="000000"/>
              </a:solidFill>
              <a:latin typeface="Arial"/>
              <a:ea typeface="Arial"/>
              <a:cs typeface="Arial"/>
            </a:rPr>
            <a:t>Percent Operating Time</a:t>
          </a:r>
          <a:r>
            <a:rPr lang="en-US" cap="none" sz="800" b="0" i="0" u="none" baseline="0">
              <a:solidFill>
                <a:srgbClr val="000000"/>
              </a:solidFill>
              <a:latin typeface="Arial"/>
              <a:ea typeface="Arial"/>
              <a:cs typeface="Arial"/>
            </a:rPr>
            <a:t> is the time the turbine should be producing some power.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Limitations:</a:t>
          </a:r>
          <a:r>
            <a:rPr lang="en-US" cap="none" sz="800" b="0" i="0" u="none" baseline="0">
              <a:solidFill>
                <a:srgbClr val="000000"/>
              </a:solidFill>
              <a:latin typeface="Arial"/>
              <a:ea typeface="Arial"/>
              <a:cs typeface="Arial"/>
            </a:rPr>
            <a:t>  This model uses a mathmatical idealization of the wind speed probability.  The validity of this assumption is reduced as the time period under consideration (ie, the wind speed averaging period) is reduced.  This model is best used with annual or monthly average wind speeds.  Use of this model with daily or hourly average wind speed data is not recommended because the  wind will not follow a Weibull distribution over short periods.  The data used in creating the power curve was generated at the BWC test site in Norman, OK.  Consult Bergey Windpower Co. for special needs.  </a:t>
          </a:r>
          <a:r>
            <a:rPr lang="en-US" cap="none" sz="800" b="1" i="1" u="none" baseline="0">
              <a:solidFill>
                <a:srgbClr val="000000"/>
              </a:solidFill>
              <a:latin typeface="Arial"/>
              <a:ea typeface="Arial"/>
              <a:cs typeface="Arial"/>
            </a:rPr>
            <a:t>Your performance may vary.</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4</xdr:col>
      <xdr:colOff>85725</xdr:colOff>
      <xdr:row>3</xdr:row>
      <xdr:rowOff>57150</xdr:rowOff>
    </xdr:from>
    <xdr:to>
      <xdr:col>6</xdr:col>
      <xdr:colOff>781050</xdr:colOff>
      <xdr:row>6</xdr:row>
      <xdr:rowOff>114300</xdr:rowOff>
    </xdr:to>
    <xdr:sp>
      <xdr:nvSpPr>
        <xdr:cNvPr id="3" name="Text 3"/>
        <xdr:cNvSpPr txBox="1">
          <a:spLocks noChangeArrowheads="1"/>
        </xdr:cNvSpPr>
      </xdr:nvSpPr>
      <xdr:spPr>
        <a:xfrm>
          <a:off x="3762375" y="876300"/>
          <a:ext cx="1495425" cy="628650"/>
        </a:xfrm>
        <a:prstGeom prst="rect">
          <a:avLst/>
        </a:prstGeom>
        <a:solidFill>
          <a:srgbClr val="FFFFFF"/>
        </a:solidFill>
        <a:ln w="9525" cmpd="sng">
          <a:solidFill>
            <a:srgbClr val="000000"/>
          </a:solidFill>
          <a:headEnd type="none"/>
          <a:tailEnd type="none"/>
        </a:ln>
      </xdr:spPr>
      <xdr:txBody>
        <a:bodyPr vertOverflow="clip" wrap="square" lIns="73152" tIns="59436" rIns="73152" bIns="0"/>
        <a:p>
          <a:pPr algn="ctr">
            <a:defRPr/>
          </a:pPr>
          <a:r>
            <a:rPr lang="en-US" cap="none" sz="3600" b="1" i="0" u="none" baseline="0">
              <a:solidFill>
                <a:srgbClr val="000000"/>
              </a:solidFill>
            </a:rPr>
            <a:t>5 kW</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urbine%20design\10%20kw%20dzn\tier%20specs\wire%20loss%20calcul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S2">
            <v>0.112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4"/>
  <sheetViews>
    <sheetView zoomScalePageLayoutView="0" workbookViewId="0" topLeftCell="A3">
      <selection activeCell="E51" sqref="E51"/>
    </sheetView>
  </sheetViews>
  <sheetFormatPr defaultColWidth="9.140625" defaultRowHeight="12.75"/>
  <cols>
    <col min="1" max="1" width="21.28125" style="101" customWidth="1"/>
    <col min="2" max="12" width="8.8515625" style="101" customWidth="1"/>
    <col min="13" max="14" width="0" style="101" hidden="1" customWidth="1"/>
    <col min="15" max="16384" width="8.8515625" style="101" customWidth="1"/>
  </cols>
  <sheetData>
    <row r="1" spans="1:6" ht="15">
      <c r="A1" s="117" t="s">
        <v>63</v>
      </c>
      <c r="B1" s="118"/>
      <c r="C1" s="118"/>
      <c r="D1" s="118"/>
      <c r="E1" s="118"/>
      <c r="F1" s="118"/>
    </row>
    <row r="2" ht="13.5" thickBot="1"/>
    <row r="3" spans="1:6" ht="12.75">
      <c r="A3" s="121" t="s">
        <v>61</v>
      </c>
      <c r="B3" s="122"/>
      <c r="C3" s="122"/>
      <c r="D3" s="122"/>
      <c r="E3" s="122"/>
      <c r="F3" s="123"/>
    </row>
    <row r="4" spans="1:6" ht="12.75">
      <c r="A4" s="116" t="s">
        <v>64</v>
      </c>
      <c r="B4" s="104">
        <v>60</v>
      </c>
      <c r="C4" s="104">
        <v>80</v>
      </c>
      <c r="D4" s="104">
        <v>100</v>
      </c>
      <c r="E4" s="104">
        <v>120</v>
      </c>
      <c r="F4" s="108">
        <v>140</v>
      </c>
    </row>
    <row r="5" spans="1:6" ht="12.75" hidden="1">
      <c r="A5" s="109" t="s">
        <v>56</v>
      </c>
      <c r="B5" s="105">
        <f>B4*awg6/1000</f>
        <v>0.024527999999999998</v>
      </c>
      <c r="C5" s="105">
        <f>C4*awg6/1000</f>
        <v>0.032704000000000004</v>
      </c>
      <c r="D5" s="105">
        <f>D4*awg6/1000</f>
        <v>0.04088</v>
      </c>
      <c r="E5" s="105">
        <f>E4*awg6/1000</f>
        <v>0.049055999999999995</v>
      </c>
      <c r="F5" s="110">
        <f>F4*awg6/1000</f>
        <v>0.057232</v>
      </c>
    </row>
    <row r="6" spans="1:6" ht="12.75" hidden="1">
      <c r="A6" s="109" t="s">
        <v>57</v>
      </c>
      <c r="B6" s="105">
        <f>0.087</f>
        <v>0.087</v>
      </c>
      <c r="C6" s="105">
        <f>0.087</f>
        <v>0.087</v>
      </c>
      <c r="D6" s="105">
        <f>0.087</f>
        <v>0.087</v>
      </c>
      <c r="E6" s="105">
        <f>0.087</f>
        <v>0.087</v>
      </c>
      <c r="F6" s="110">
        <f>0.087</f>
        <v>0.087</v>
      </c>
    </row>
    <row r="7" spans="1:6" ht="12.75" hidden="1">
      <c r="A7" s="109" t="s">
        <v>58</v>
      </c>
      <c r="B7" s="105">
        <f>B6-B5</f>
        <v>0.062472</v>
      </c>
      <c r="C7" s="105">
        <f>C6-C5</f>
        <v>0.05429599999999999</v>
      </c>
      <c r="D7" s="105">
        <f>D6-D5</f>
        <v>0.046119999999999994</v>
      </c>
      <c r="E7" s="105">
        <f>E6-E5</f>
        <v>0.037944</v>
      </c>
      <c r="F7" s="110">
        <f>F6-F5</f>
        <v>0.029767999999999996</v>
      </c>
    </row>
    <row r="8" spans="1:6" ht="12.75" hidden="1">
      <c r="A8" s="109"/>
      <c r="B8" s="105"/>
      <c r="C8" s="105"/>
      <c r="D8" s="105"/>
      <c r="E8" s="105"/>
      <c r="F8" s="110"/>
    </row>
    <row r="9" spans="1:6" ht="12.75">
      <c r="A9" s="107" t="s">
        <v>38</v>
      </c>
      <c r="B9" s="119" t="s">
        <v>60</v>
      </c>
      <c r="C9" s="119"/>
      <c r="D9" s="119"/>
      <c r="E9" s="119"/>
      <c r="F9" s="120"/>
    </row>
    <row r="10" spans="1:6" ht="12.75">
      <c r="A10" s="111">
        <v>6</v>
      </c>
      <c r="B10" s="106">
        <f>ROUND(1000*B7/awg6,-1)</f>
        <v>150</v>
      </c>
      <c r="C10" s="106">
        <f>ROUND(1000*C7/awg6,-1)</f>
        <v>130</v>
      </c>
      <c r="D10" s="106">
        <f>ROUND(1000*D7/awg6,-1)</f>
        <v>110</v>
      </c>
      <c r="E10" s="106">
        <f>ROUND(1000*E7/awg6,-1)</f>
        <v>90</v>
      </c>
      <c r="F10" s="112">
        <f>ROUND(1000*F7/awg6,-1)</f>
        <v>70</v>
      </c>
    </row>
    <row r="11" spans="1:6" ht="12.75">
      <c r="A11" s="111">
        <v>4</v>
      </c>
      <c r="B11" s="106">
        <f>ROUND(1000*B7/awg4,-1)</f>
        <v>240</v>
      </c>
      <c r="C11" s="106">
        <f>ROUND(1000*C7/awg4,-1)</f>
        <v>210</v>
      </c>
      <c r="D11" s="106">
        <f>ROUND(1000*D7/awg4,-1)</f>
        <v>180</v>
      </c>
      <c r="E11" s="106">
        <f>ROUND(1000*E7/awg4,-1)</f>
        <v>150</v>
      </c>
      <c r="F11" s="112">
        <f>ROUND(1000*F7/awg4,-1)</f>
        <v>120</v>
      </c>
    </row>
    <row r="12" spans="1:6" ht="12.75">
      <c r="A12" s="111">
        <v>3</v>
      </c>
      <c r="B12" s="106">
        <f>ROUND(1000*B7/awg3,-1)</f>
        <v>310</v>
      </c>
      <c r="C12" s="106">
        <f>ROUND(1000*C7/awg3,-1)</f>
        <v>270</v>
      </c>
      <c r="D12" s="106">
        <f>ROUND(1000*D7/awg3,-1)</f>
        <v>230</v>
      </c>
      <c r="E12" s="106">
        <f>ROUND(1000*E7/awg3,-1)</f>
        <v>190</v>
      </c>
      <c r="F12" s="112">
        <f>ROUND(1000*F7/awg3,-1)</f>
        <v>150</v>
      </c>
    </row>
    <row r="13" spans="1:6" ht="12.75">
      <c r="A13" s="111">
        <v>2</v>
      </c>
      <c r="B13" s="106">
        <f>ROUND(1000*B7/awg2,-1)</f>
        <v>390</v>
      </c>
      <c r="C13" s="106">
        <f>ROUND(1000*C7/awg2,-1)</f>
        <v>340</v>
      </c>
      <c r="D13" s="106">
        <f>ROUND(1000*D7/awg2,-1)</f>
        <v>290</v>
      </c>
      <c r="E13" s="106">
        <f>ROUND(1000*E7/awg2,-1)</f>
        <v>230</v>
      </c>
      <c r="F13" s="112">
        <f>ROUND(1000*F7/awg2,-1)</f>
        <v>180</v>
      </c>
    </row>
    <row r="14" spans="1:6" ht="13.5" thickBot="1">
      <c r="A14" s="113">
        <v>0</v>
      </c>
      <c r="B14" s="114">
        <f>ROUND(1000*B7/awg0,-1)</f>
        <v>610</v>
      </c>
      <c r="C14" s="114">
        <f>1000*C7/awg0</f>
        <v>534.4094488188975</v>
      </c>
      <c r="D14" s="114">
        <f>1000*D7/awg0</f>
        <v>453.93700787401576</v>
      </c>
      <c r="E14" s="114">
        <f>1000*E7/awg0</f>
        <v>373.4645669291338</v>
      </c>
      <c r="F14" s="115">
        <f>1000*F7/awg0</f>
        <v>292.99212598425197</v>
      </c>
    </row>
    <row r="16" ht="13.5" thickBot="1"/>
    <row r="17" spans="1:6" ht="12.75">
      <c r="A17" s="121" t="s">
        <v>59</v>
      </c>
      <c r="B17" s="122"/>
      <c r="C17" s="122"/>
      <c r="D17" s="122"/>
      <c r="E17" s="122"/>
      <c r="F17" s="123"/>
    </row>
    <row r="18" spans="1:14" ht="12.75">
      <c r="A18" s="116" t="s">
        <v>64</v>
      </c>
      <c r="B18" s="104">
        <v>60</v>
      </c>
      <c r="C18" s="104">
        <v>80</v>
      </c>
      <c r="D18" s="104">
        <v>100</v>
      </c>
      <c r="E18" s="104">
        <v>120</v>
      </c>
      <c r="F18" s="108">
        <v>140</v>
      </c>
      <c r="M18" s="101" t="s">
        <v>38</v>
      </c>
      <c r="N18" s="101" t="s">
        <v>39</v>
      </c>
    </row>
    <row r="19" spans="1:14" ht="12.75" hidden="1">
      <c r="A19" s="109" t="s">
        <v>56</v>
      </c>
      <c r="B19" s="105">
        <f>B18*awg6/1000</f>
        <v>0.024527999999999998</v>
      </c>
      <c r="C19" s="105">
        <f>C18*awg6/1000</f>
        <v>0.032704000000000004</v>
      </c>
      <c r="D19" s="105">
        <f>D18*awg6/1000</f>
        <v>0.04088</v>
      </c>
      <c r="E19" s="105">
        <f>E18*awg6/1000</f>
        <v>0.049055999999999995</v>
      </c>
      <c r="F19" s="110">
        <f>F18*awg6/1000</f>
        <v>0.057232</v>
      </c>
      <c r="M19" s="102">
        <v>8</v>
      </c>
      <c r="N19" s="101">
        <v>0.6498</v>
      </c>
    </row>
    <row r="20" spans="1:14" ht="12.75" hidden="1">
      <c r="A20" s="109" t="s">
        <v>57</v>
      </c>
      <c r="B20" s="105">
        <f>0.175</f>
        <v>0.175</v>
      </c>
      <c r="C20" s="105">
        <f>0.175</f>
        <v>0.175</v>
      </c>
      <c r="D20" s="105">
        <f>0.175</f>
        <v>0.175</v>
      </c>
      <c r="E20" s="105">
        <f>0.175</f>
        <v>0.175</v>
      </c>
      <c r="F20" s="110">
        <f>0.175</f>
        <v>0.175</v>
      </c>
      <c r="M20" s="102">
        <v>6</v>
      </c>
      <c r="N20" s="101">
        <v>0.4088</v>
      </c>
    </row>
    <row r="21" spans="1:14" ht="12.75" hidden="1">
      <c r="A21" s="109" t="s">
        <v>58</v>
      </c>
      <c r="B21" s="105">
        <f>B20-B19</f>
        <v>0.150472</v>
      </c>
      <c r="C21" s="105">
        <f>C20-C19</f>
        <v>0.14229599999999998</v>
      </c>
      <c r="D21" s="105">
        <f>D20-D19</f>
        <v>0.13412</v>
      </c>
      <c r="E21" s="105">
        <f>E20-E19</f>
        <v>0.125944</v>
      </c>
      <c r="F21" s="110">
        <f>F20-F19</f>
        <v>0.11776799999999998</v>
      </c>
      <c r="M21" s="103">
        <v>4</v>
      </c>
      <c r="N21" s="101">
        <v>0.2571</v>
      </c>
    </row>
    <row r="22" spans="1:14" ht="12.75" hidden="1">
      <c r="A22" s="109"/>
      <c r="B22" s="105"/>
      <c r="C22" s="105"/>
      <c r="D22" s="105"/>
      <c r="E22" s="105"/>
      <c r="F22" s="110"/>
      <c r="M22" s="103">
        <v>3</v>
      </c>
      <c r="N22" s="101">
        <v>0.2039</v>
      </c>
    </row>
    <row r="23" spans="1:14" ht="12.75">
      <c r="A23" s="107" t="s">
        <v>38</v>
      </c>
      <c r="B23" s="119" t="s">
        <v>60</v>
      </c>
      <c r="C23" s="119"/>
      <c r="D23" s="119"/>
      <c r="E23" s="119"/>
      <c r="F23" s="120"/>
      <c r="M23" s="102">
        <v>2</v>
      </c>
      <c r="N23" s="101">
        <v>0.1617</v>
      </c>
    </row>
    <row r="24" spans="1:14" ht="12.75">
      <c r="A24" s="107">
        <v>8</v>
      </c>
      <c r="B24" s="104">
        <f>ROUND(1000*B21/awg8,-1)</f>
        <v>230</v>
      </c>
      <c r="C24" s="104">
        <f>ROUND(1000*C21/awg8,-1)</f>
        <v>220</v>
      </c>
      <c r="D24" s="104">
        <f>ROUND(1000*D21/awg8,-1)</f>
        <v>210</v>
      </c>
      <c r="E24" s="104">
        <f>ROUND(1000*E21/awg8,-1)</f>
        <v>190</v>
      </c>
      <c r="F24" s="108">
        <f>ROUND(1000*F21/awg8,-1)</f>
        <v>180</v>
      </c>
      <c r="M24" s="102" t="s">
        <v>40</v>
      </c>
      <c r="N24" s="101">
        <v>0.1016</v>
      </c>
    </row>
    <row r="25" spans="1:14" ht="12.75">
      <c r="A25" s="111">
        <v>6</v>
      </c>
      <c r="B25" s="106">
        <f>ROUND(1000*B21/awg6,-1)</f>
        <v>370</v>
      </c>
      <c r="C25" s="106">
        <f>ROUND(1000*C21/awg6,-1)</f>
        <v>350</v>
      </c>
      <c r="D25" s="106">
        <f>ROUND(1000*D21/awg6,-1)</f>
        <v>330</v>
      </c>
      <c r="E25" s="106">
        <f>ROUND(1000*E21/awg6,-1)</f>
        <v>310</v>
      </c>
      <c r="F25" s="112">
        <f>ROUND(1000*F21/awg6,-1)</f>
        <v>290</v>
      </c>
      <c r="M25" s="103" t="s">
        <v>41</v>
      </c>
      <c r="N25" s="101">
        <v>0.0798</v>
      </c>
    </row>
    <row r="26" spans="1:14" ht="12.75">
      <c r="A26" s="111">
        <v>4</v>
      </c>
      <c r="B26" s="106">
        <f>ROUND(1000*B21/awg4,-1)</f>
        <v>590</v>
      </c>
      <c r="C26" s="106">
        <f>ROUND(1000*C21/awg4,-1)</f>
        <v>550</v>
      </c>
      <c r="D26" s="106">
        <f>ROUND(1000*D21/awg4,-1)</f>
        <v>520</v>
      </c>
      <c r="E26" s="106">
        <f>ROUND(1000*E21/awg4,-1)</f>
        <v>490</v>
      </c>
      <c r="F26" s="112">
        <f>ROUND(1000*F21/awg4,-1)</f>
        <v>460</v>
      </c>
      <c r="M26" s="103" t="s">
        <v>42</v>
      </c>
      <c r="N26" s="101">
        <v>0.0633</v>
      </c>
    </row>
    <row r="27" spans="1:6" ht="12.75">
      <c r="A27" s="111">
        <v>3</v>
      </c>
      <c r="B27" s="106">
        <f>ROUND(1000*B21/awg3,-1)</f>
        <v>740</v>
      </c>
      <c r="C27" s="106">
        <f>ROUND(1000*C21/awg3,-1)</f>
        <v>700</v>
      </c>
      <c r="D27" s="106">
        <f>ROUND(1000*D21/awg3,-1)</f>
        <v>660</v>
      </c>
      <c r="E27" s="106">
        <f>ROUND(1000*E21/awg3,-1)</f>
        <v>620</v>
      </c>
      <c r="F27" s="112">
        <f>ROUND(1000*F21/awg3,-1)</f>
        <v>580</v>
      </c>
    </row>
    <row r="28" spans="1:6" ht="12.75">
      <c r="A28" s="111">
        <v>2</v>
      </c>
      <c r="B28" s="106">
        <f>ROUND(1000*B21/awg2,-1)</f>
        <v>930</v>
      </c>
      <c r="C28" s="106">
        <f>ROUND(1000*C21/awg2,-1)</f>
        <v>880</v>
      </c>
      <c r="D28" s="106">
        <f>ROUND(1000*D21/awg2,-1)</f>
        <v>830</v>
      </c>
      <c r="E28" s="106">
        <f>ROUND(1000*E21/awg2,-1)</f>
        <v>780</v>
      </c>
      <c r="F28" s="112">
        <f>ROUND(1000*F21/awg2,-1)</f>
        <v>730</v>
      </c>
    </row>
    <row r="29" spans="1:6" ht="13.5" thickBot="1">
      <c r="A29" s="113">
        <v>0</v>
      </c>
      <c r="B29" s="114">
        <f>ROUND(1000*B21/awg0,-1)</f>
        <v>1480</v>
      </c>
      <c r="C29" s="114">
        <f>1000*C21/awg0</f>
        <v>1400.551181102362</v>
      </c>
      <c r="D29" s="114">
        <f>1000*D21/awg0</f>
        <v>1320.07874015748</v>
      </c>
      <c r="E29" s="114">
        <f>1000*E21/awg0</f>
        <v>1239.6062992125985</v>
      </c>
      <c r="F29" s="115">
        <f>1000*F21/awg0</f>
        <v>1159.1338582677165</v>
      </c>
    </row>
    <row r="31" ht="13.5" thickBot="1"/>
    <row r="32" spans="1:6" ht="12.75">
      <c r="A32" s="121" t="s">
        <v>62</v>
      </c>
      <c r="B32" s="122"/>
      <c r="C32" s="122"/>
      <c r="D32" s="122"/>
      <c r="E32" s="122"/>
      <c r="F32" s="123"/>
    </row>
    <row r="33" spans="1:6" ht="12.75">
      <c r="A33" s="116" t="s">
        <v>64</v>
      </c>
      <c r="B33" s="104">
        <v>60</v>
      </c>
      <c r="C33" s="104">
        <v>80</v>
      </c>
      <c r="D33" s="104">
        <v>100</v>
      </c>
      <c r="E33" s="104">
        <v>120</v>
      </c>
      <c r="F33" s="108">
        <v>140</v>
      </c>
    </row>
    <row r="34" spans="1:6" ht="12.75" customHeight="1" hidden="1">
      <c r="A34" s="109" t="s">
        <v>56</v>
      </c>
      <c r="B34" s="105">
        <f>B33*awg6/1000</f>
        <v>0.024527999999999998</v>
      </c>
      <c r="C34" s="105">
        <f>C33*awg6/1000</f>
        <v>0.032704000000000004</v>
      </c>
      <c r="D34" s="105">
        <f>D33*awg6/1000</f>
        <v>0.04088</v>
      </c>
      <c r="E34" s="105">
        <f>E33*awg6/1000</f>
        <v>0.049055999999999995</v>
      </c>
      <c r="F34" s="110">
        <f>F33*awg6/1000</f>
        <v>0.057232</v>
      </c>
    </row>
    <row r="35" spans="1:6" ht="12.75" customHeight="1" hidden="1">
      <c r="A35" s="109" t="s">
        <v>57</v>
      </c>
      <c r="B35" s="105">
        <v>0.35</v>
      </c>
      <c r="C35" s="105">
        <v>0.35</v>
      </c>
      <c r="D35" s="105">
        <v>0.35</v>
      </c>
      <c r="E35" s="105">
        <v>0.35</v>
      </c>
      <c r="F35" s="110">
        <v>0.35</v>
      </c>
    </row>
    <row r="36" spans="1:6" ht="12.75" customHeight="1" hidden="1">
      <c r="A36" s="109" t="s">
        <v>58</v>
      </c>
      <c r="B36" s="105">
        <f>B35-B34</f>
        <v>0.325472</v>
      </c>
      <c r="C36" s="105">
        <f>C35-C34</f>
        <v>0.31729599999999997</v>
      </c>
      <c r="D36" s="105">
        <f>D35-D34</f>
        <v>0.30911999999999995</v>
      </c>
      <c r="E36" s="105">
        <f>E35-E34</f>
        <v>0.300944</v>
      </c>
      <c r="F36" s="110">
        <f>F35-F34</f>
        <v>0.292768</v>
      </c>
    </row>
    <row r="37" spans="1:6" ht="12.75" hidden="1">
      <c r="A37" s="109"/>
      <c r="B37" s="105"/>
      <c r="C37" s="105"/>
      <c r="D37" s="105"/>
      <c r="E37" s="105"/>
      <c r="F37" s="110"/>
    </row>
    <row r="38" spans="1:6" ht="12.75">
      <c r="A38" s="107" t="s">
        <v>38</v>
      </c>
      <c r="B38" s="119" t="s">
        <v>60</v>
      </c>
      <c r="C38" s="119"/>
      <c r="D38" s="119"/>
      <c r="E38" s="119"/>
      <c r="F38" s="120"/>
    </row>
    <row r="39" spans="1:6" ht="12.75">
      <c r="A39" s="107">
        <v>8</v>
      </c>
      <c r="B39" s="104">
        <f>ROUND(1000*B36/awg8,-1)</f>
        <v>500</v>
      </c>
      <c r="C39" s="104">
        <f>ROUND(1000*C36/awg8,-1)</f>
        <v>490</v>
      </c>
      <c r="D39" s="104">
        <f>ROUND(1000*D36/awg8,-1)</f>
        <v>480</v>
      </c>
      <c r="E39" s="104">
        <f>ROUND(1000*E36/awg8,-1)</f>
        <v>460</v>
      </c>
      <c r="F39" s="108">
        <f>ROUND(1000*F36/awg8,-1)</f>
        <v>450</v>
      </c>
    </row>
    <row r="40" spans="1:6" ht="12.75">
      <c r="A40" s="111">
        <v>6</v>
      </c>
      <c r="B40" s="106">
        <f>ROUND(1000*B36/awg6,-1)</f>
        <v>800</v>
      </c>
      <c r="C40" s="106">
        <f>ROUND(1000*C36/awg6,-1)</f>
        <v>780</v>
      </c>
      <c r="D40" s="106">
        <f>ROUND(1000*D36/awg6,-1)</f>
        <v>760</v>
      </c>
      <c r="E40" s="106">
        <f>ROUND(1000*E36/awg6,-1)</f>
        <v>740</v>
      </c>
      <c r="F40" s="112">
        <f>ROUND(1000*F36/awg6,-1)</f>
        <v>720</v>
      </c>
    </row>
    <row r="41" spans="1:6" ht="12.75">
      <c r="A41" s="111">
        <v>4</v>
      </c>
      <c r="B41" s="106">
        <f>ROUND(1000*B36/awg4,-1)</f>
        <v>1270</v>
      </c>
      <c r="C41" s="106">
        <f>ROUND(1000*C36/awg4,-1)</f>
        <v>1230</v>
      </c>
      <c r="D41" s="106">
        <f>ROUND(1000*D36/awg4,-1)</f>
        <v>1200</v>
      </c>
      <c r="E41" s="106">
        <f>ROUND(1000*E36/awg4,-1)</f>
        <v>1170</v>
      </c>
      <c r="F41" s="112">
        <f>ROUND(1000*F36/awg4,-1)</f>
        <v>1140</v>
      </c>
    </row>
    <row r="42" spans="1:6" ht="12.75">
      <c r="A42" s="111">
        <v>3</v>
      </c>
      <c r="B42" s="106">
        <f>ROUND(1000*B36/awg3,-1)</f>
        <v>1600</v>
      </c>
      <c r="C42" s="106">
        <f>ROUND(1000*C36/awg3,-1)</f>
        <v>1560</v>
      </c>
      <c r="D42" s="106">
        <f>ROUND(1000*D36/awg3,-1)</f>
        <v>1520</v>
      </c>
      <c r="E42" s="106">
        <f>ROUND(1000*E36/awg3,-1)</f>
        <v>1480</v>
      </c>
      <c r="F42" s="112">
        <f>ROUND(1000*F36/awg3,-1)</f>
        <v>1440</v>
      </c>
    </row>
    <row r="43" spans="1:6" ht="12.75">
      <c r="A43" s="111">
        <v>2</v>
      </c>
      <c r="B43" s="106">
        <f>ROUND(1000*B36/awg2,-1)</f>
        <v>2010</v>
      </c>
      <c r="C43" s="106">
        <f>ROUND(1000*C36/awg2,-1)</f>
        <v>1960</v>
      </c>
      <c r="D43" s="106">
        <f>ROUND(1000*D36/awg2,-1)</f>
        <v>1910</v>
      </c>
      <c r="E43" s="106">
        <f>ROUND(1000*E36/awg2,-1)</f>
        <v>1860</v>
      </c>
      <c r="F43" s="112">
        <f>ROUND(1000*F36/awg2,-1)</f>
        <v>1810</v>
      </c>
    </row>
    <row r="44" spans="1:6" ht="13.5" thickBot="1">
      <c r="A44" s="113">
        <v>0</v>
      </c>
      <c r="B44" s="114">
        <f>ROUND(1000*B36/awg0,-1)</f>
        <v>3200</v>
      </c>
      <c r="C44" s="114">
        <f>1000*C36/awg0</f>
        <v>3122.992125984252</v>
      </c>
      <c r="D44" s="114">
        <f>1000*D36/awg0</f>
        <v>3042.5196850393695</v>
      </c>
      <c r="E44" s="114">
        <f>1000*E36/awg0</f>
        <v>2962.0472440944886</v>
      </c>
      <c r="F44" s="115">
        <f>1000*F36/awg0</f>
        <v>2881.574803149606</v>
      </c>
    </row>
  </sheetData>
  <sheetProtection/>
  <mergeCells count="7">
    <mergeCell ref="A1:F1"/>
    <mergeCell ref="B23:F23"/>
    <mergeCell ref="B38:F38"/>
    <mergeCell ref="A32:F32"/>
    <mergeCell ref="A17:F17"/>
    <mergeCell ref="A3:F3"/>
    <mergeCell ref="B9:F9"/>
  </mergeCells>
  <printOptions horizontalCentered="1" verticalCentered="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84"/>
  <sheetViews>
    <sheetView tabSelected="1" zoomScale="99" zoomScaleNormal="99" zoomScalePageLayoutView="0" workbookViewId="0" topLeftCell="A1">
      <selection activeCell="B13" sqref="B13"/>
    </sheetView>
  </sheetViews>
  <sheetFormatPr defaultColWidth="10.8515625" defaultRowHeight="12.75"/>
  <cols>
    <col min="1" max="1" width="23.28125" style="3" customWidth="1"/>
    <col min="2" max="2" width="9.00390625" style="3" customWidth="1"/>
    <col min="3" max="3" width="1.7109375" style="3" customWidth="1"/>
    <col min="4" max="4" width="21.140625" style="3" customWidth="1"/>
    <col min="5" max="5" width="11.140625" style="3" customWidth="1"/>
    <col min="6" max="6" width="0.85546875" style="3" customWidth="1"/>
    <col min="7" max="7" width="12.7109375" style="3" customWidth="1"/>
    <col min="8" max="8" width="9.421875" style="3" customWidth="1"/>
    <col min="9" max="9" width="10.8515625" style="3" customWidth="1"/>
    <col min="10" max="11" width="10.8515625" style="3" hidden="1" customWidth="1"/>
    <col min="12" max="16384" width="10.8515625" style="3" customWidth="1"/>
  </cols>
  <sheetData>
    <row r="1" spans="1:8" ht="30.75" customHeight="1" thickBot="1" thickTop="1">
      <c r="A1" s="1" t="s">
        <v>0</v>
      </c>
      <c r="B1" s="2"/>
      <c r="C1" s="2"/>
      <c r="D1" s="2"/>
      <c r="E1" s="2"/>
      <c r="F1" s="2"/>
      <c r="G1" s="2"/>
      <c r="H1" s="2"/>
    </row>
    <row r="2" spans="1:8" ht="27" customHeight="1" thickBot="1">
      <c r="A2" s="4" t="s">
        <v>33</v>
      </c>
      <c r="B2" s="5"/>
      <c r="C2" s="5"/>
      <c r="D2" s="5"/>
      <c r="E2" s="5"/>
      <c r="F2" s="6"/>
      <c r="G2" s="6" t="s">
        <v>34</v>
      </c>
      <c r="H2" s="6"/>
    </row>
    <row r="3" spans="1:5" ht="6.75" customHeight="1">
      <c r="A3" s="7"/>
      <c r="B3" s="8"/>
      <c r="C3" s="9"/>
      <c r="D3" s="9"/>
      <c r="E3" s="9"/>
    </row>
    <row r="4" spans="1:5" ht="15" customHeight="1">
      <c r="A4" s="10" t="s">
        <v>1</v>
      </c>
      <c r="B4" s="11" t="s">
        <v>26</v>
      </c>
      <c r="C4" s="12"/>
      <c r="D4" s="13"/>
      <c r="E4" s="9"/>
    </row>
    <row r="5" spans="1:10" ht="15" customHeight="1">
      <c r="A5" s="14" t="s">
        <v>2</v>
      </c>
      <c r="B5" s="15" t="s">
        <v>27</v>
      </c>
      <c r="C5" s="15"/>
      <c r="D5" s="9"/>
      <c r="E5" s="9"/>
      <c r="J5" s="3" t="s">
        <v>54</v>
      </c>
    </row>
    <row r="6" spans="1:10" ht="15" customHeight="1">
      <c r="A6" s="14" t="s">
        <v>3</v>
      </c>
      <c r="B6" s="16" t="s">
        <v>28</v>
      </c>
      <c r="C6" s="16"/>
      <c r="D6" s="9"/>
      <c r="E6" s="9"/>
      <c r="J6" s="3" t="s">
        <v>55</v>
      </c>
    </row>
    <row r="7" spans="1:5" ht="15" customHeight="1">
      <c r="A7" s="17" t="s">
        <v>4</v>
      </c>
      <c r="B7" s="18">
        <f ca="1">NOW()</f>
        <v>39350.4322181713</v>
      </c>
      <c r="C7" s="18"/>
      <c r="D7" s="19"/>
      <c r="E7" s="9"/>
    </row>
    <row r="8" ht="10.5" customHeight="1"/>
    <row r="9" spans="1:7" ht="24.75" customHeight="1" thickBot="1">
      <c r="A9" s="73" t="s">
        <v>5</v>
      </c>
      <c r="B9" s="74"/>
      <c r="C9" s="21"/>
      <c r="D9" s="20" t="s">
        <v>6</v>
      </c>
      <c r="E9" s="22"/>
      <c r="F9" s="22"/>
      <c r="G9" s="23"/>
    </row>
    <row r="10" spans="1:11" ht="15" customHeight="1">
      <c r="A10" s="24" t="s">
        <v>7</v>
      </c>
      <c r="B10" s="25">
        <v>5</v>
      </c>
      <c r="C10" s="26"/>
      <c r="D10" s="27"/>
      <c r="E10" s="24" t="s">
        <v>8</v>
      </c>
      <c r="F10" s="28"/>
      <c r="G10" s="29">
        <f>B10*((B15/B14)^B13)</f>
        <v>5</v>
      </c>
      <c r="J10" t="s">
        <v>38</v>
      </c>
      <c r="K10" t="s">
        <v>39</v>
      </c>
    </row>
    <row r="11" spans="1:11" ht="15" customHeight="1">
      <c r="A11" s="30" t="s">
        <v>9</v>
      </c>
      <c r="B11" s="31">
        <v>2</v>
      </c>
      <c r="C11" s="26"/>
      <c r="D11" s="27"/>
      <c r="E11" s="30" t="s">
        <v>10</v>
      </c>
      <c r="F11" s="28"/>
      <c r="G11" s="32">
        <f>-(B12*0.0000918)</f>
        <v>0</v>
      </c>
      <c r="J11" s="64" t="s">
        <v>40</v>
      </c>
      <c r="K11">
        <v>0.1016</v>
      </c>
    </row>
    <row r="12" spans="1:11" ht="15" customHeight="1">
      <c r="A12" s="30" t="s">
        <v>11</v>
      </c>
      <c r="B12" s="33">
        <v>0</v>
      </c>
      <c r="C12" s="34"/>
      <c r="D12" s="27"/>
      <c r="E12" s="30" t="s">
        <v>12</v>
      </c>
      <c r="F12" s="28"/>
      <c r="G12" s="35">
        <f>(E62-H62)/8760</f>
        <v>1.1171952125184004</v>
      </c>
      <c r="J12" s="65" t="s">
        <v>41</v>
      </c>
      <c r="K12">
        <v>0.0798</v>
      </c>
    </row>
    <row r="13" spans="1:11" ht="15" customHeight="1">
      <c r="A13" s="30" t="s">
        <v>13</v>
      </c>
      <c r="B13" s="36">
        <v>0.2</v>
      </c>
      <c r="C13" s="37"/>
      <c r="D13" s="38"/>
      <c r="E13" s="39" t="s">
        <v>14</v>
      </c>
      <c r="F13" s="40"/>
      <c r="G13" s="41">
        <f>G12*24</f>
        <v>26.81268510044161</v>
      </c>
      <c r="J13" s="65" t="s">
        <v>42</v>
      </c>
      <c r="K13">
        <v>0.0633</v>
      </c>
    </row>
    <row r="14" spans="1:11" ht="15" customHeight="1">
      <c r="A14" s="30" t="s">
        <v>15</v>
      </c>
      <c r="B14" s="31">
        <v>28</v>
      </c>
      <c r="C14" s="26"/>
      <c r="D14" s="76"/>
      <c r="E14" s="77" t="s">
        <v>16</v>
      </c>
      <c r="F14" s="78"/>
      <c r="G14" s="79">
        <f>G13*365</f>
        <v>9786.630061661188</v>
      </c>
      <c r="J14" s="65" t="s">
        <v>45</v>
      </c>
      <c r="K14">
        <v>0.1282</v>
      </c>
    </row>
    <row r="15" spans="1:11" ht="15" customHeight="1">
      <c r="A15" s="30" t="s">
        <v>17</v>
      </c>
      <c r="B15" s="31">
        <v>28</v>
      </c>
      <c r="C15" s="26"/>
      <c r="D15" s="67"/>
      <c r="E15" s="45" t="s">
        <v>18</v>
      </c>
      <c r="F15" s="68"/>
      <c r="G15" s="69">
        <f>G14/12</f>
        <v>815.5525051384324</v>
      </c>
      <c r="J15" s="71" t="s">
        <v>46</v>
      </c>
      <c r="K15">
        <v>0.1617</v>
      </c>
    </row>
    <row r="16" spans="1:11" ht="15" customHeight="1">
      <c r="A16" s="30" t="s">
        <v>51</v>
      </c>
      <c r="B16" s="31">
        <v>40</v>
      </c>
      <c r="C16" s="26"/>
      <c r="D16" s="27"/>
      <c r="E16" s="46" t="s">
        <v>20</v>
      </c>
      <c r="F16" s="70"/>
      <c r="G16" s="66">
        <f>SUM(D26:D61)</f>
        <v>0.8531121405285077</v>
      </c>
      <c r="J16" s="71" t="s">
        <v>47</v>
      </c>
      <c r="K16">
        <v>0.2039</v>
      </c>
    </row>
    <row r="17" spans="1:11" ht="15" customHeight="1">
      <c r="A17" s="30" t="s">
        <v>36</v>
      </c>
      <c r="B17" s="75" t="s">
        <v>43</v>
      </c>
      <c r="C17" s="26"/>
      <c r="D17" s="27"/>
      <c r="E17" s="46" t="s">
        <v>52</v>
      </c>
      <c r="F17" s="70"/>
      <c r="G17" s="80">
        <f>(B15*3.28*VLOOKUP(B17,J11:K19,2,FALSE)+B16*3.28*VLOOKUP(B18,J11:K19,2,FALSE))/1000</f>
        <v>0.09117875199999999</v>
      </c>
      <c r="J17" s="71" t="s">
        <v>44</v>
      </c>
      <c r="K17">
        <v>0.2571</v>
      </c>
    </row>
    <row r="18" spans="1:11" ht="15" customHeight="1">
      <c r="A18" s="30" t="s">
        <v>37</v>
      </c>
      <c r="B18" s="75" t="s">
        <v>43</v>
      </c>
      <c r="C18" s="26"/>
      <c r="D18" s="27"/>
      <c r="E18" s="46" t="s">
        <v>53</v>
      </c>
      <c r="F18" s="9"/>
      <c r="G18" s="96">
        <f>H62</f>
        <v>155.41341830605396</v>
      </c>
      <c r="J18" s="71" t="s">
        <v>43</v>
      </c>
      <c r="K18">
        <v>0.4088</v>
      </c>
    </row>
    <row r="19" spans="1:11" ht="15" customHeight="1">
      <c r="A19" s="39" t="s">
        <v>19</v>
      </c>
      <c r="B19" s="42">
        <v>0</v>
      </c>
      <c r="C19" s="43"/>
      <c r="D19" s="38"/>
      <c r="E19" s="81" t="s">
        <v>48</v>
      </c>
      <c r="F19" s="44"/>
      <c r="G19" s="72">
        <f>H62/E62</f>
        <v>0.015631939109822322</v>
      </c>
      <c r="J19" s="71" t="s">
        <v>49</v>
      </c>
      <c r="K19" s="3">
        <v>0.6498</v>
      </c>
    </row>
    <row r="20" spans="1:8" ht="17.25" customHeight="1" thickBot="1">
      <c r="A20" s="88"/>
      <c r="B20" s="89"/>
      <c r="C20" s="89"/>
      <c r="D20" s="88"/>
      <c r="E20" s="89"/>
      <c r="F20" s="89"/>
      <c r="G20" s="87"/>
      <c r="H20" s="63"/>
    </row>
    <row r="21" spans="1:11" ht="17.25" customHeight="1">
      <c r="A21" s="48" t="s">
        <v>21</v>
      </c>
      <c r="F21" s="49"/>
      <c r="G21" s="15"/>
      <c r="H21" s="14"/>
      <c r="J21" t="s">
        <v>29</v>
      </c>
      <c r="K21">
        <f>m_s*(0.568+0.433/weibull_k)^(-1/weibull_k)</f>
        <v>5.645124576572452</v>
      </c>
    </row>
    <row r="22" spans="1:11" s="54" customFormat="1" ht="17.25" customHeight="1">
      <c r="A22" s="50" t="s">
        <v>22</v>
      </c>
      <c r="B22" s="51" t="s">
        <v>23</v>
      </c>
      <c r="C22" s="51"/>
      <c r="D22" s="51" t="s">
        <v>24</v>
      </c>
      <c r="E22" s="52" t="s">
        <v>30</v>
      </c>
      <c r="F22" s="90"/>
      <c r="G22" s="52" t="s">
        <v>35</v>
      </c>
      <c r="H22" s="52" t="s">
        <v>32</v>
      </c>
      <c r="K22" s="53" t="s">
        <v>31</v>
      </c>
    </row>
    <row r="23" spans="1:13" s="54" customFormat="1" ht="11.25" customHeight="1">
      <c r="A23" s="60">
        <f aca="true" t="shared" si="0" ref="A23:A61">((1-alt_corr)*J23^3)^(1/3)</f>
        <v>1</v>
      </c>
      <c r="B23" s="60">
        <v>-0.005511945392491452</v>
      </c>
      <c r="C23" s="59"/>
      <c r="D23" s="91">
        <f aca="true" t="shared" si="1" ref="D23:D61">1-EXP(-(((A23+0.25)/weibull_c)^weibull_k))-(1-EXP(-(((A23-0.25)/weibull_c)^weibull_k)))</f>
        <v>0.030352246250585635</v>
      </c>
      <c r="E23" s="62">
        <f>8760*D23*B23</f>
        <v>-1.4655473331246895</v>
      </c>
      <c r="F23" s="53"/>
      <c r="G23" s="97">
        <f>(IF(K23&gt;37.5,IF(K23&lt;300,-0.00000000004938419*K23^5+0.00000002035189*K23^4-0.000002576128*K23^3+0.0004046252*K23^2+0.01566201*K23+0.7484676,0),0))^2*resistance*3/1000000</f>
        <v>0</v>
      </c>
      <c r="H23" s="61">
        <f aca="true" t="shared" si="2" ref="H23:H61">8760*D23*G23</f>
        <v>0</v>
      </c>
      <c r="J23" s="55">
        <v>1</v>
      </c>
      <c r="K23" s="53">
        <v>0</v>
      </c>
      <c r="M23" s="100"/>
    </row>
    <row r="24" spans="1:13" s="54" customFormat="1" ht="11.25" customHeight="1">
      <c r="A24" s="60">
        <f t="shared" si="0"/>
        <v>1.5</v>
      </c>
      <c r="B24" s="60">
        <v>-0.005511945392491452</v>
      </c>
      <c r="C24" s="59"/>
      <c r="D24" s="91">
        <f t="shared" si="1"/>
        <v>0.04377933575961934</v>
      </c>
      <c r="E24" s="62">
        <f aca="true" t="shared" si="3" ref="E24:E61">8760*D24*B24</f>
        <v>-2.113869538312754</v>
      </c>
      <c r="F24" s="53"/>
      <c r="G24" s="60">
        <f aca="true" t="shared" si="4" ref="G24:G61">(IF(K24&gt;37.5,IF(K24&lt;300,-0.00000000004938419*K24^5+0.00000002035189*K24^4-0.000002576128*K24^3+0.0004046252*K24^2+0.01566201*K24+0.7484676,0),0))^2*resistance*3/1000</f>
        <v>0</v>
      </c>
      <c r="H24" s="62">
        <f t="shared" si="2"/>
        <v>0</v>
      </c>
      <c r="J24" s="55">
        <v>1.5</v>
      </c>
      <c r="K24" s="53">
        <v>0</v>
      </c>
      <c r="M24" s="100"/>
    </row>
    <row r="25" spans="1:13" s="54" customFormat="1" ht="11.25" customHeight="1">
      <c r="A25" s="60">
        <f t="shared" si="0"/>
        <v>1.9999999999999998</v>
      </c>
      <c r="B25" s="60">
        <v>-0.005511945392491452</v>
      </c>
      <c r="C25" s="59"/>
      <c r="D25" s="91">
        <f t="shared" si="1"/>
        <v>0.05525731831843528</v>
      </c>
      <c r="E25" s="62">
        <f t="shared" si="3"/>
        <v>-2.66807981289498</v>
      </c>
      <c r="F25" s="53"/>
      <c r="G25" s="60">
        <f t="shared" si="4"/>
        <v>0</v>
      </c>
      <c r="H25" s="62">
        <f t="shared" si="2"/>
        <v>0</v>
      </c>
      <c r="J25" s="55">
        <v>2</v>
      </c>
      <c r="K25">
        <v>24.11270989761095</v>
      </c>
      <c r="M25" s="100"/>
    </row>
    <row r="26" spans="1:13" s="54" customFormat="1" ht="11.25" customHeight="1">
      <c r="A26" s="60">
        <f t="shared" si="0"/>
        <v>2.5</v>
      </c>
      <c r="B26" s="60">
        <v>0.029117647058823515</v>
      </c>
      <c r="C26" s="59"/>
      <c r="D26" s="91">
        <f t="shared" si="1"/>
        <v>0.06436896773244327</v>
      </c>
      <c r="E26" s="62">
        <f t="shared" si="3"/>
        <v>16.418630463612963</v>
      </c>
      <c r="F26" s="53"/>
      <c r="G26" s="60">
        <f t="shared" si="4"/>
        <v>0</v>
      </c>
      <c r="H26" s="62">
        <f t="shared" si="2"/>
        <v>0</v>
      </c>
      <c r="J26" s="55">
        <v>2.5</v>
      </c>
      <c r="K26">
        <v>32.792804812834184</v>
      </c>
      <c r="M26" s="100"/>
    </row>
    <row r="27" spans="1:13" s="54" customFormat="1" ht="11.25" customHeight="1">
      <c r="A27" s="60">
        <f t="shared" si="0"/>
        <v>2.9999999999999996</v>
      </c>
      <c r="B27" s="60">
        <v>0.08900855246275588</v>
      </c>
      <c r="C27" s="59"/>
      <c r="D27" s="91">
        <f t="shared" si="1"/>
        <v>0.07086460062276345</v>
      </c>
      <c r="E27" s="62">
        <f t="shared" si="3"/>
        <v>55.25418637520331</v>
      </c>
      <c r="F27" s="53"/>
      <c r="G27" s="60">
        <f t="shared" si="4"/>
        <v>0.0011904703412726283</v>
      </c>
      <c r="H27" s="62">
        <f t="shared" si="2"/>
        <v>0.7390129183187603</v>
      </c>
      <c r="J27" s="55">
        <v>3</v>
      </c>
      <c r="K27">
        <v>44.389895372233454</v>
      </c>
      <c r="M27" s="100"/>
    </row>
    <row r="28" spans="1:13" s="54" customFormat="1" ht="11.25" customHeight="1">
      <c r="A28" s="60">
        <f t="shared" si="0"/>
        <v>3.5</v>
      </c>
      <c r="B28" s="60">
        <v>0.20042475715680236</v>
      </c>
      <c r="C28" s="59"/>
      <c r="D28" s="91">
        <f t="shared" si="1"/>
        <v>0.07466937425133657</v>
      </c>
      <c r="E28" s="62">
        <f t="shared" si="3"/>
        <v>131.09857892404082</v>
      </c>
      <c r="F28" s="53"/>
      <c r="G28" s="60">
        <f t="shared" si="4"/>
        <v>0.0021575996916064874</v>
      </c>
      <c r="H28" s="62">
        <f t="shared" si="2"/>
        <v>1.4112939811884866</v>
      </c>
      <c r="J28" s="55">
        <v>3.5</v>
      </c>
      <c r="K28">
        <v>59.896915254237335</v>
      </c>
      <c r="M28" s="100"/>
    </row>
    <row r="29" spans="1:13" s="54" customFormat="1" ht="11.25" customHeight="1">
      <c r="A29" s="60">
        <f t="shared" si="0"/>
        <v>3.999999999999999</v>
      </c>
      <c r="B29" s="60">
        <v>0.32111725035283495</v>
      </c>
      <c r="C29" s="59"/>
      <c r="D29" s="91">
        <f t="shared" si="1"/>
        <v>0.07587446830599442</v>
      </c>
      <c r="E29" s="62">
        <f t="shared" si="3"/>
        <v>213.43390155738126</v>
      </c>
      <c r="F29" s="53"/>
      <c r="G29" s="60">
        <f t="shared" si="4"/>
        <v>0.003351709783543485</v>
      </c>
      <c r="H29" s="62">
        <f t="shared" si="2"/>
        <v>2.2277485722230876</v>
      </c>
      <c r="J29" s="55">
        <v>4</v>
      </c>
      <c r="K29">
        <v>72.63855978260872</v>
      </c>
      <c r="M29" s="100"/>
    </row>
    <row r="30" spans="1:13" s="54" customFormat="1" ht="11.25" customHeight="1">
      <c r="A30" s="60">
        <f t="shared" si="0"/>
        <v>4.499999999999999</v>
      </c>
      <c r="B30" s="60">
        <v>0.48751308846981195</v>
      </c>
      <c r="C30" s="59"/>
      <c r="D30" s="91">
        <f t="shared" si="1"/>
        <v>0.07471438175151268</v>
      </c>
      <c r="E30" s="62">
        <f t="shared" si="3"/>
        <v>319.0763336469423</v>
      </c>
      <c r="F30" s="53"/>
      <c r="G30" s="60">
        <f t="shared" si="4"/>
        <v>0.005184649091973555</v>
      </c>
      <c r="H30" s="62">
        <f t="shared" si="2"/>
        <v>3.3933423791868287</v>
      </c>
      <c r="J30" s="55">
        <v>4.5</v>
      </c>
      <c r="K30">
        <v>86.34957478005882</v>
      </c>
      <c r="M30" s="100"/>
    </row>
    <row r="31" spans="1:13" s="54" customFormat="1" ht="11.25" customHeight="1">
      <c r="A31" s="60">
        <f t="shared" si="0"/>
        <v>5.000000000000001</v>
      </c>
      <c r="B31" s="60">
        <v>0.7056225856400927</v>
      </c>
      <c r="C31" s="59"/>
      <c r="D31" s="91">
        <f t="shared" si="1"/>
        <v>0.07153400515013897</v>
      </c>
      <c r="E31" s="62">
        <f t="shared" si="3"/>
        <v>442.1698447550391</v>
      </c>
      <c r="F31" s="53"/>
      <c r="G31" s="60">
        <f t="shared" si="4"/>
        <v>0.007961248625452845</v>
      </c>
      <c r="H31" s="62">
        <f t="shared" si="2"/>
        <v>4.988820001530202</v>
      </c>
      <c r="J31" s="55">
        <v>5</v>
      </c>
      <c r="K31">
        <v>100.90063962558511</v>
      </c>
      <c r="M31" s="100"/>
    </row>
    <row r="32" spans="1:13" s="54" customFormat="1" ht="11.25" customHeight="1">
      <c r="A32" s="60">
        <f t="shared" si="0"/>
        <v>5.5</v>
      </c>
      <c r="B32" s="60">
        <v>0.896681937133512</v>
      </c>
      <c r="C32" s="59"/>
      <c r="D32" s="91">
        <f t="shared" si="1"/>
        <v>0.06674994140430002</v>
      </c>
      <c r="E32" s="62">
        <f t="shared" si="3"/>
        <v>524.316368834736</v>
      </c>
      <c r="F32" s="53"/>
      <c r="G32" s="60">
        <f t="shared" si="4"/>
        <v>0.01056949315456364</v>
      </c>
      <c r="H32" s="62">
        <f t="shared" si="2"/>
        <v>6.180294306964793</v>
      </c>
      <c r="J32" s="55">
        <v>5.5</v>
      </c>
      <c r="K32">
        <v>111.11371376811603</v>
      </c>
      <c r="M32" s="100"/>
    </row>
    <row r="33" spans="1:13" s="54" customFormat="1" ht="11.25" customHeight="1">
      <c r="A33" s="60">
        <f t="shared" si="0"/>
        <v>6</v>
      </c>
      <c r="B33" s="60">
        <v>1.2437589217062943</v>
      </c>
      <c r="C33" s="59"/>
      <c r="D33" s="91">
        <f t="shared" si="1"/>
        <v>0.06081068946203583</v>
      </c>
      <c r="E33" s="62">
        <f t="shared" si="3"/>
        <v>662.5524169688176</v>
      </c>
      <c r="F33" s="53"/>
      <c r="G33" s="60">
        <f t="shared" si="4"/>
        <v>0.015788614640840973</v>
      </c>
      <c r="H33" s="62">
        <f t="shared" si="2"/>
        <v>8.410620907569012</v>
      </c>
      <c r="J33" s="55">
        <v>6</v>
      </c>
      <c r="K33">
        <v>126.45559701492544</v>
      </c>
      <c r="M33" s="100"/>
    </row>
    <row r="34" spans="1:13" s="54" customFormat="1" ht="11.25" customHeight="1">
      <c r="A34" s="60">
        <f t="shared" si="0"/>
        <v>6.499999999999999</v>
      </c>
      <c r="B34" s="60">
        <v>1.5932269481967487</v>
      </c>
      <c r="C34" s="59"/>
      <c r="D34" s="91">
        <f t="shared" si="1"/>
        <v>0.05415983400196622</v>
      </c>
      <c r="E34" s="62">
        <f t="shared" si="3"/>
        <v>755.8908256861256</v>
      </c>
      <c r="F34" s="53"/>
      <c r="G34" s="60">
        <f t="shared" si="4"/>
        <v>0.02169372804447313</v>
      </c>
      <c r="H34" s="62">
        <f t="shared" si="2"/>
        <v>10.292375497606786</v>
      </c>
      <c r="J34" s="55">
        <v>6.5</v>
      </c>
      <c r="K34">
        <v>139.4351509433963</v>
      </c>
      <c r="M34" s="100"/>
    </row>
    <row r="35" spans="1:13" s="54" customFormat="1" ht="11.25" customHeight="1">
      <c r="A35" s="60">
        <f t="shared" si="0"/>
        <v>6.999999999999998</v>
      </c>
      <c r="B35" s="60">
        <v>1.96788778493215</v>
      </c>
      <c r="C35" s="59"/>
      <c r="D35" s="91">
        <f t="shared" si="1"/>
        <v>0.04720544644679581</v>
      </c>
      <c r="E35" s="62">
        <f t="shared" si="3"/>
        <v>813.7603878574838</v>
      </c>
      <c r="F35" s="53"/>
      <c r="G35" s="60">
        <f t="shared" si="4"/>
        <v>0.02864690940274225</v>
      </c>
      <c r="H35" s="62">
        <f t="shared" si="2"/>
        <v>11.84606169365368</v>
      </c>
      <c r="J35" s="55">
        <v>7</v>
      </c>
      <c r="K35">
        <v>151.52760563380312</v>
      </c>
      <c r="M35" s="100"/>
    </row>
    <row r="36" spans="1:13" s="54" customFormat="1" ht="11.25" customHeight="1">
      <c r="A36" s="60">
        <f t="shared" si="0"/>
        <v>7.499999999999999</v>
      </c>
      <c r="B36" s="60">
        <v>2.345489724565904</v>
      </c>
      <c r="C36" s="59"/>
      <c r="D36" s="91">
        <f t="shared" si="1"/>
        <v>0.04029769835082697</v>
      </c>
      <c r="E36" s="62">
        <f t="shared" si="3"/>
        <v>827.9762556723642</v>
      </c>
      <c r="F36" s="53"/>
      <c r="G36" s="60">
        <f t="shared" si="4"/>
        <v>0.03646838067080518</v>
      </c>
      <c r="H36" s="62">
        <f t="shared" si="2"/>
        <v>12.873624199669466</v>
      </c>
      <c r="J36" s="55">
        <v>7.5</v>
      </c>
      <c r="K36">
        <v>162.72506172839533</v>
      </c>
      <c r="M36" s="100"/>
    </row>
    <row r="37" spans="1:13" s="54" customFormat="1" ht="11.25" customHeight="1">
      <c r="A37" s="60">
        <f t="shared" si="0"/>
        <v>7.999999999999998</v>
      </c>
      <c r="B37" s="60">
        <v>2.722515035577038</v>
      </c>
      <c r="C37" s="59"/>
      <c r="D37" s="91">
        <f t="shared" si="1"/>
        <v>0.03371542809989414</v>
      </c>
      <c r="E37" s="62">
        <f t="shared" si="3"/>
        <v>804.0870570120144</v>
      </c>
      <c r="F37" s="53"/>
      <c r="G37" s="60">
        <f t="shared" si="4"/>
        <v>0.044839849086931026</v>
      </c>
      <c r="H37" s="62">
        <f t="shared" si="2"/>
        <v>13.243321641208615</v>
      </c>
      <c r="J37" s="55">
        <v>8</v>
      </c>
      <c r="K37">
        <v>172.97176938369756</v>
      </c>
      <c r="M37" s="100"/>
    </row>
    <row r="38" spans="1:13" s="54" customFormat="1" ht="11.25" customHeight="1">
      <c r="A38" s="60">
        <f t="shared" si="0"/>
        <v>8.5</v>
      </c>
      <c r="B38" s="60">
        <v>3.1245644159555117</v>
      </c>
      <c r="C38" s="59"/>
      <c r="D38" s="91">
        <f t="shared" si="1"/>
        <v>0.027661270994737808</v>
      </c>
      <c r="E38" s="62">
        <f t="shared" si="3"/>
        <v>757.1217459202783</v>
      </c>
      <c r="F38" s="53"/>
      <c r="G38" s="60">
        <f t="shared" si="4"/>
        <v>0.054603376740214926</v>
      </c>
      <c r="H38" s="62">
        <f t="shared" si="2"/>
        <v>13.23109349885231</v>
      </c>
      <c r="J38" s="55">
        <v>8.5</v>
      </c>
      <c r="K38">
        <v>183.48767820773904</v>
      </c>
      <c r="M38" s="100"/>
    </row>
    <row r="39" spans="1:13" s="54" customFormat="1" ht="11.25" customHeight="1">
      <c r="A39" s="60">
        <f t="shared" si="0"/>
        <v>8.999999999999998</v>
      </c>
      <c r="B39" s="60">
        <v>3.6127165358141564</v>
      </c>
      <c r="C39" s="59"/>
      <c r="D39" s="91">
        <f t="shared" si="1"/>
        <v>0.022264093989736056</v>
      </c>
      <c r="E39" s="62">
        <f t="shared" si="3"/>
        <v>704.6006180819667</v>
      </c>
      <c r="F39" s="53"/>
      <c r="G39" s="60">
        <f t="shared" si="4"/>
        <v>0.0671881925435914</v>
      </c>
      <c r="H39" s="62">
        <f>8760*D39*G39</f>
        <v>13.10394588800918</v>
      </c>
      <c r="J39" s="55">
        <v>9</v>
      </c>
      <c r="K39">
        <v>195.65696721311454</v>
      </c>
      <c r="M39" s="100"/>
    </row>
    <row r="40" spans="1:13" s="54" customFormat="1" ht="11.25" customHeight="1">
      <c r="A40" s="60">
        <f t="shared" si="0"/>
        <v>9.499999999999996</v>
      </c>
      <c r="B40" s="60">
        <v>4.009870259400114</v>
      </c>
      <c r="C40" s="59"/>
      <c r="D40" s="91">
        <f t="shared" si="1"/>
        <v>0.0175869378048209</v>
      </c>
      <c r="E40" s="62">
        <f t="shared" si="3"/>
        <v>617.7669283914447</v>
      </c>
      <c r="F40" s="53"/>
      <c r="G40" s="60">
        <f t="shared" si="4"/>
        <v>0.07791325755506757</v>
      </c>
      <c r="H40" s="62">
        <f t="shared" si="2"/>
        <v>12.00343918557762</v>
      </c>
      <c r="J40" s="55">
        <v>9.5</v>
      </c>
      <c r="K40">
        <v>205.3553191489359</v>
      </c>
      <c r="M40" s="100"/>
    </row>
    <row r="41" spans="1:13" s="54" customFormat="1" ht="11.25" customHeight="1">
      <c r="A41" s="60">
        <f t="shared" si="0"/>
        <v>9.999999999999998</v>
      </c>
      <c r="B41" s="60">
        <v>4.455784768575464</v>
      </c>
      <c r="C41" s="59"/>
      <c r="D41" s="91">
        <f t="shared" si="1"/>
        <v>0.013638465740716255</v>
      </c>
      <c r="E41" s="62">
        <f t="shared" si="3"/>
        <v>532.3457949285828</v>
      </c>
      <c r="F41" s="53"/>
      <c r="G41" s="60">
        <f t="shared" si="4"/>
        <v>0.0907275893171924</v>
      </c>
      <c r="H41" s="62">
        <f t="shared" si="2"/>
        <v>10.839493639289051</v>
      </c>
      <c r="J41" s="55">
        <v>10</v>
      </c>
      <c r="K41">
        <v>216.72997630331747</v>
      </c>
      <c r="M41" s="100"/>
    </row>
    <row r="42" spans="1:13" s="54" customFormat="1" ht="12">
      <c r="A42" s="60">
        <f t="shared" si="0"/>
        <v>10.5</v>
      </c>
      <c r="B42" s="60">
        <v>4.863328547072685</v>
      </c>
      <c r="C42" s="92"/>
      <c r="D42" s="91">
        <f t="shared" si="1"/>
        <v>0.010386004253449266</v>
      </c>
      <c r="E42" s="62">
        <f t="shared" si="3"/>
        <v>442.472426548167</v>
      </c>
      <c r="F42" s="93"/>
      <c r="G42" s="60">
        <f t="shared" si="4"/>
        <v>0.10414311852240925</v>
      </c>
      <c r="H42" s="62">
        <f t="shared" si="2"/>
        <v>9.47508643820503</v>
      </c>
      <c r="J42" s="55">
        <v>10.5</v>
      </c>
      <c r="K42">
        <v>229.28094027954248</v>
      </c>
      <c r="M42" s="100"/>
    </row>
    <row r="43" spans="1:13" s="54" customFormat="1" ht="12">
      <c r="A43" s="60">
        <f t="shared" si="0"/>
        <v>11.000000000000002</v>
      </c>
      <c r="B43" s="60">
        <v>5.287013641475952</v>
      </c>
      <c r="C43" s="92"/>
      <c r="D43" s="91">
        <f t="shared" si="1"/>
        <v>0.00776855675571253</v>
      </c>
      <c r="E43" s="62">
        <f t="shared" si="3"/>
        <v>359.79479814820303</v>
      </c>
      <c r="F43" s="93"/>
      <c r="G43" s="60">
        <f t="shared" si="4"/>
        <v>0.11622510654990591</v>
      </c>
      <c r="H43" s="62">
        <f t="shared" si="2"/>
        <v>7.909415709243918</v>
      </c>
      <c r="J43" s="55">
        <v>11</v>
      </c>
      <c r="K43">
        <v>243.16927536231853</v>
      </c>
      <c r="M43" s="100"/>
    </row>
    <row r="44" spans="1:13" s="54" customFormat="1" ht="12">
      <c r="A44" s="60">
        <f t="shared" si="0"/>
        <v>11.499999999999998</v>
      </c>
      <c r="B44" s="60">
        <v>5.608311904004159</v>
      </c>
      <c r="C44" s="92"/>
      <c r="D44" s="91">
        <f t="shared" si="1"/>
        <v>0.005708588457542185</v>
      </c>
      <c r="E44" s="62">
        <f t="shared" si="3"/>
        <v>280.4561707090925</v>
      </c>
      <c r="F44" s="93"/>
      <c r="G44" s="60">
        <f t="shared" si="4"/>
        <v>0.12304212224516928</v>
      </c>
      <c r="H44" s="62">
        <f t="shared" si="2"/>
        <v>6.152996308240747</v>
      </c>
      <c r="J44" s="55">
        <v>11.5</v>
      </c>
      <c r="K44">
        <v>258.44504201680667</v>
      </c>
      <c r="M44" s="100"/>
    </row>
    <row r="45" spans="1:13" s="54" customFormat="1" ht="12">
      <c r="A45" s="60">
        <f t="shared" si="0"/>
        <v>11.999999999999995</v>
      </c>
      <c r="B45" s="60">
        <v>5.817757444698038</v>
      </c>
      <c r="C45" s="92"/>
      <c r="D45" s="91">
        <f t="shared" si="1"/>
        <v>0.004121830693434303</v>
      </c>
      <c r="E45" s="62">
        <f t="shared" si="3"/>
        <v>210.06314613400767</v>
      </c>
      <c r="F45" s="93"/>
      <c r="G45" s="60">
        <f t="shared" si="4"/>
        <v>0.12158772844042147</v>
      </c>
      <c r="H45" s="62">
        <f t="shared" si="2"/>
        <v>4.3901969118287925</v>
      </c>
      <c r="J45" s="55">
        <v>12</v>
      </c>
      <c r="K45">
        <v>269.5417190775685</v>
      </c>
      <c r="M45" s="100"/>
    </row>
    <row r="46" spans="1:13" s="54" customFormat="1" ht="12">
      <c r="A46" s="60">
        <f t="shared" si="0"/>
        <v>12.499999999999996</v>
      </c>
      <c r="B46" s="60">
        <v>5.9825381579946555</v>
      </c>
      <c r="C46" s="92"/>
      <c r="D46" s="91">
        <f t="shared" si="1"/>
        <v>0.002924769803134941</v>
      </c>
      <c r="E46" s="62">
        <f t="shared" si="3"/>
        <v>153.27851128730242</v>
      </c>
      <c r="F46" s="93"/>
      <c r="G46" s="60">
        <f t="shared" si="4"/>
        <v>0.10543055969239552</v>
      </c>
      <c r="H46" s="62">
        <f t="shared" si="2"/>
        <v>2.7012346276875845</v>
      </c>
      <c r="J46" s="55">
        <v>12.5</v>
      </c>
      <c r="K46">
        <v>286.7107894736843</v>
      </c>
      <c r="M46" s="100"/>
    </row>
    <row r="47" spans="1:13" s="54" customFormat="1" ht="12">
      <c r="A47" s="60">
        <f t="shared" si="0"/>
        <v>12.999999999999995</v>
      </c>
      <c r="B47" s="60">
        <v>6.043592156862741</v>
      </c>
      <c r="C47" s="92"/>
      <c r="D47" s="91">
        <f t="shared" si="1"/>
        <v>0.0020398233771459218</v>
      </c>
      <c r="E47" s="62">
        <f t="shared" si="3"/>
        <v>107.9920585362982</v>
      </c>
      <c r="F47" s="93"/>
      <c r="G47" s="60">
        <f t="shared" si="4"/>
        <v>0</v>
      </c>
      <c r="H47" s="62">
        <f t="shared" si="2"/>
        <v>0</v>
      </c>
      <c r="J47" s="55">
        <v>13</v>
      </c>
      <c r="K47">
        <v>302.0745098039218</v>
      </c>
      <c r="M47" s="100"/>
    </row>
    <row r="48" spans="1:13" s="54" customFormat="1" ht="12">
      <c r="A48" s="60">
        <f t="shared" si="0"/>
        <v>13.5</v>
      </c>
      <c r="B48" s="60">
        <v>6.100125000000003</v>
      </c>
      <c r="C48" s="92"/>
      <c r="D48" s="91">
        <f t="shared" si="1"/>
        <v>0.0013984446162708108</v>
      </c>
      <c r="E48" s="62">
        <f t="shared" si="3"/>
        <v>74.72881781190189</v>
      </c>
      <c r="F48" s="93"/>
      <c r="G48" s="60">
        <f t="shared" si="4"/>
        <v>0</v>
      </c>
      <c r="H48" s="62">
        <f t="shared" si="2"/>
        <v>0</v>
      </c>
      <c r="J48" s="55">
        <v>13.5</v>
      </c>
      <c r="K48">
        <v>317.60921052631596</v>
      </c>
      <c r="M48" s="100"/>
    </row>
    <row r="49" spans="1:13" s="54" customFormat="1" ht="12">
      <c r="A49" s="60">
        <f t="shared" si="0"/>
        <v>13.999999999999996</v>
      </c>
      <c r="B49" s="60">
        <v>6.136239316239313</v>
      </c>
      <c r="C49" s="92"/>
      <c r="D49" s="91">
        <f t="shared" si="1"/>
        <v>0.0009425330302121893</v>
      </c>
      <c r="E49" s="62">
        <f t="shared" si="3"/>
        <v>50.66440815473778</v>
      </c>
      <c r="F49" s="93"/>
      <c r="G49" s="60">
        <f t="shared" si="4"/>
        <v>0</v>
      </c>
      <c r="H49" s="62">
        <f t="shared" si="2"/>
        <v>0</v>
      </c>
      <c r="J49" s="55">
        <v>14</v>
      </c>
      <c r="K49">
        <v>333.0153846153848</v>
      </c>
      <c r="M49" s="100"/>
    </row>
    <row r="50" spans="1:13" s="54" customFormat="1" ht="12">
      <c r="A50" s="60">
        <f t="shared" si="0"/>
        <v>14.499999999999995</v>
      </c>
      <c r="B50" s="60">
        <v>6.093072727272728</v>
      </c>
      <c r="C50" s="92"/>
      <c r="D50" s="91">
        <f t="shared" si="1"/>
        <v>0.0006245803675034578</v>
      </c>
      <c r="E50" s="62">
        <f t="shared" si="3"/>
        <v>33.337175164253594</v>
      </c>
      <c r="F50" s="93"/>
      <c r="G50" s="60">
        <f t="shared" si="4"/>
        <v>0</v>
      </c>
      <c r="H50" s="62">
        <f t="shared" si="2"/>
        <v>0</v>
      </c>
      <c r="J50" s="55">
        <v>14.5</v>
      </c>
      <c r="K50">
        <v>348.22363636363633</v>
      </c>
      <c r="M50" s="100"/>
    </row>
    <row r="51" spans="1:13" s="54" customFormat="1" ht="12">
      <c r="A51" s="60">
        <f t="shared" si="0"/>
        <v>14.999999999999993</v>
      </c>
      <c r="B51" s="60">
        <v>5.996433333333334</v>
      </c>
      <c r="C51" s="92"/>
      <c r="D51" s="91">
        <f t="shared" si="1"/>
        <v>0.0004069659806538173</v>
      </c>
      <c r="E51" s="62">
        <f t="shared" si="3"/>
        <v>21.37741669806509</v>
      </c>
      <c r="F51" s="93"/>
      <c r="G51" s="60">
        <f t="shared" si="4"/>
        <v>0</v>
      </c>
      <c r="H51" s="62">
        <f t="shared" si="2"/>
        <v>0</v>
      </c>
      <c r="J51" s="55">
        <v>15</v>
      </c>
      <c r="K51">
        <v>352.75333333333333</v>
      </c>
      <c r="M51" s="100"/>
    </row>
    <row r="52" spans="1:13" s="54" customFormat="1" ht="12">
      <c r="A52" s="60">
        <f t="shared" si="0"/>
        <v>15.499999999999998</v>
      </c>
      <c r="B52" s="60">
        <v>5.989499999999999</v>
      </c>
      <c r="C52" s="92"/>
      <c r="D52" s="91">
        <f t="shared" si="1"/>
        <v>0.0002607592951323623</v>
      </c>
      <c r="E52" s="62">
        <f t="shared" si="3"/>
        <v>13.681523912190684</v>
      </c>
      <c r="F52" s="93"/>
      <c r="G52" s="60">
        <f t="shared" si="4"/>
        <v>0</v>
      </c>
      <c r="H52" s="62">
        <f t="shared" si="2"/>
        <v>0</v>
      </c>
      <c r="J52" s="55">
        <v>15.5</v>
      </c>
      <c r="K52">
        <v>371.52000000000004</v>
      </c>
      <c r="M52" s="100"/>
    </row>
    <row r="53" spans="1:13" s="54" customFormat="1" ht="12">
      <c r="A53" s="60">
        <f t="shared" si="0"/>
        <v>15.999999999999991</v>
      </c>
      <c r="B53" s="60">
        <v>6.133833333333334</v>
      </c>
      <c r="C53" s="92"/>
      <c r="D53" s="91">
        <f t="shared" si="1"/>
        <v>0.00016431002428118902</v>
      </c>
      <c r="E53" s="62">
        <f t="shared" si="3"/>
        <v>8.828768662486077</v>
      </c>
      <c r="F53" s="93"/>
      <c r="G53" s="60">
        <f t="shared" si="4"/>
        <v>0</v>
      </c>
      <c r="H53" s="62">
        <f t="shared" si="2"/>
        <v>0</v>
      </c>
      <c r="J53" s="55">
        <v>16</v>
      </c>
      <c r="K53">
        <v>398.2166666666667</v>
      </c>
      <c r="M53" s="100"/>
    </row>
    <row r="54" spans="1:13" s="54" customFormat="1" ht="12">
      <c r="A54" s="60">
        <f t="shared" si="0"/>
        <v>16.5</v>
      </c>
      <c r="B54" s="60">
        <v>6.297</v>
      </c>
      <c r="C54" s="92"/>
      <c r="D54" s="91">
        <f t="shared" si="1"/>
        <v>0.00010182600756358795</v>
      </c>
      <c r="E54" s="62">
        <f t="shared" si="3"/>
        <v>5.61689771794052</v>
      </c>
      <c r="F54" s="93"/>
      <c r="G54" s="60">
        <f t="shared" si="4"/>
        <v>0</v>
      </c>
      <c r="H54" s="62">
        <f t="shared" si="2"/>
        <v>0</v>
      </c>
      <c r="J54" s="55">
        <v>16.5</v>
      </c>
      <c r="K54">
        <v>413.525</v>
      </c>
      <c r="M54" s="100"/>
    </row>
    <row r="55" spans="1:13" s="54" customFormat="1" ht="12">
      <c r="A55" s="60">
        <f t="shared" si="0"/>
        <v>16.999999999999993</v>
      </c>
      <c r="B55" s="60">
        <v>6.3485</v>
      </c>
      <c r="C55" s="92"/>
      <c r="D55" s="91">
        <f t="shared" si="1"/>
        <v>6.206533427655092E-05</v>
      </c>
      <c r="E55" s="62">
        <f t="shared" si="3"/>
        <v>3.4516307459750273</v>
      </c>
      <c r="F55" s="93"/>
      <c r="G55" s="60">
        <f t="shared" si="4"/>
        <v>0</v>
      </c>
      <c r="H55" s="62">
        <f t="shared" si="2"/>
        <v>0</v>
      </c>
      <c r="J55" s="55">
        <v>17</v>
      </c>
      <c r="K55">
        <v>387.1</v>
      </c>
      <c r="M55" s="100"/>
    </row>
    <row r="56" spans="1:13" s="54" customFormat="1" ht="12">
      <c r="A56" s="60">
        <f t="shared" si="0"/>
        <v>17.499999999999996</v>
      </c>
      <c r="B56" s="60">
        <v>6.3</v>
      </c>
      <c r="C56" s="92"/>
      <c r="D56" s="91">
        <f t="shared" si="1"/>
        <v>3.7209885637268236E-05</v>
      </c>
      <c r="E56" s="62">
        <f t="shared" si="3"/>
        <v>2.0535391685495594</v>
      </c>
      <c r="F56" s="93"/>
      <c r="G56" s="60">
        <f t="shared" si="4"/>
        <v>0</v>
      </c>
      <c r="H56" s="62">
        <f t="shared" si="2"/>
        <v>0</v>
      </c>
      <c r="J56" s="55">
        <v>17.5</v>
      </c>
      <c r="K56">
        <v>400</v>
      </c>
      <c r="M56" s="100"/>
    </row>
    <row r="57" spans="1:13" s="54" customFormat="1" ht="12">
      <c r="A57" s="60">
        <f t="shared" si="0"/>
        <v>17.999999999999996</v>
      </c>
      <c r="B57" s="60">
        <v>6.053333333333334</v>
      </c>
      <c r="C57" s="92"/>
      <c r="D57" s="91">
        <f t="shared" si="1"/>
        <v>2.1943585797656873E-05</v>
      </c>
      <c r="E57" s="62">
        <f t="shared" si="3"/>
        <v>1.1636069128095106</v>
      </c>
      <c r="F57" s="93"/>
      <c r="G57" s="60">
        <f t="shared" si="4"/>
        <v>0</v>
      </c>
      <c r="H57" s="62">
        <f t="shared" si="2"/>
        <v>0</v>
      </c>
      <c r="J57" s="55">
        <v>18</v>
      </c>
      <c r="K57">
        <v>383.0333333333333</v>
      </c>
      <c r="M57" s="100"/>
    </row>
    <row r="58" spans="1:13" s="54" customFormat="1" ht="12">
      <c r="A58" s="60">
        <f t="shared" si="0"/>
        <v>18.499999999999996</v>
      </c>
      <c r="B58" s="60">
        <v>6.3</v>
      </c>
      <c r="C58" s="92"/>
      <c r="D58" s="91">
        <f t="shared" si="1"/>
        <v>1.272964564336121E-05</v>
      </c>
      <c r="E58" s="62">
        <f t="shared" si="3"/>
        <v>0.7025236837658184</v>
      </c>
      <c r="F58" s="93"/>
      <c r="G58" s="60">
        <f t="shared" si="4"/>
        <v>0</v>
      </c>
      <c r="H58" s="62">
        <f t="shared" si="2"/>
        <v>0</v>
      </c>
      <c r="J58" s="55">
        <v>18.5</v>
      </c>
      <c r="K58">
        <v>400</v>
      </c>
      <c r="M58" s="100"/>
    </row>
    <row r="59" spans="1:13" s="54" customFormat="1" ht="12">
      <c r="A59" s="60">
        <f t="shared" si="0"/>
        <v>18.999999999999996</v>
      </c>
      <c r="B59" s="60">
        <v>6.362</v>
      </c>
      <c r="C59" s="92"/>
      <c r="D59" s="91">
        <f t="shared" si="1"/>
        <v>7.264443689702915E-06</v>
      </c>
      <c r="E59" s="62">
        <f t="shared" si="3"/>
        <v>0.4048555830040759</v>
      </c>
      <c r="F59" s="93"/>
      <c r="G59" s="60">
        <f t="shared" si="4"/>
        <v>0</v>
      </c>
      <c r="H59" s="62">
        <f t="shared" si="2"/>
        <v>0</v>
      </c>
      <c r="J59" s="55">
        <v>19</v>
      </c>
      <c r="K59">
        <v>417</v>
      </c>
      <c r="M59" s="100"/>
    </row>
    <row r="60" spans="1:13" s="54" customFormat="1" ht="12">
      <c r="A60" s="60">
        <f t="shared" si="0"/>
        <v>19.499999999999996</v>
      </c>
      <c r="B60" s="60">
        <v>6.362</v>
      </c>
      <c r="C60" s="92"/>
      <c r="D60" s="91">
        <f t="shared" si="1"/>
        <v>4.078328645240603E-06</v>
      </c>
      <c r="E60" s="62">
        <f t="shared" si="3"/>
        <v>0.22728982312734147</v>
      </c>
      <c r="F60" s="93"/>
      <c r="G60" s="60">
        <f t="shared" si="4"/>
        <v>0</v>
      </c>
      <c r="H60" s="62">
        <f t="shared" si="2"/>
        <v>0</v>
      </c>
      <c r="J60" s="55">
        <v>19.5</v>
      </c>
      <c r="K60">
        <v>417</v>
      </c>
      <c r="M60" s="100"/>
    </row>
    <row r="61" spans="1:13" s="54" customFormat="1" ht="12">
      <c r="A61" s="60">
        <f t="shared" si="0"/>
        <v>19.999999999999996</v>
      </c>
      <c r="B61" s="60">
        <v>6.362</v>
      </c>
      <c r="C61" s="57"/>
      <c r="D61" s="91">
        <f t="shared" si="1"/>
        <v>2.2525327619815627E-06</v>
      </c>
      <c r="E61" s="62">
        <f t="shared" si="3"/>
        <v>0.1255361736619259</v>
      </c>
      <c r="F61" s="93"/>
      <c r="G61" s="98">
        <f t="shared" si="4"/>
        <v>0</v>
      </c>
      <c r="H61" s="99">
        <f t="shared" si="2"/>
        <v>0</v>
      </c>
      <c r="J61" s="55">
        <v>20</v>
      </c>
      <c r="K61">
        <v>417</v>
      </c>
      <c r="M61" s="100"/>
    </row>
    <row r="62" spans="1:8" s="54" customFormat="1" ht="11.25">
      <c r="A62" s="94" t="s">
        <v>50</v>
      </c>
      <c r="B62" s="84" t="s">
        <v>25</v>
      </c>
      <c r="C62" s="85"/>
      <c r="D62" s="86">
        <f>SUM(D23:D61)</f>
        <v>0.982501040857148</v>
      </c>
      <c r="E62" s="82">
        <f>SUM(E23:E61)</f>
        <v>9942.043479967242</v>
      </c>
      <c r="F62" s="95"/>
      <c r="G62" s="83"/>
      <c r="H62" s="82">
        <f>SUM(H23:H61)</f>
        <v>155.41341830605396</v>
      </c>
    </row>
    <row r="63" spans="1:8" ht="13.5" thickBot="1">
      <c r="A63" s="58"/>
      <c r="B63" s="58"/>
      <c r="C63" s="58"/>
      <c r="D63" s="47"/>
      <c r="E63" s="47"/>
      <c r="F63" s="47"/>
      <c r="G63" s="47"/>
      <c r="H63" s="47"/>
    </row>
    <row r="64" spans="1:3" ht="13.5" thickTop="1">
      <c r="A64" s="53"/>
      <c r="B64" s="56"/>
      <c r="C64" s="56"/>
    </row>
    <row r="65" spans="1:3" ht="12.75">
      <c r="A65" s="53"/>
      <c r="B65" s="56"/>
      <c r="C65" s="56"/>
    </row>
    <row r="66" spans="1:3" ht="12.75">
      <c r="A66" s="53"/>
      <c r="B66" s="56"/>
      <c r="C66" s="56"/>
    </row>
    <row r="67" spans="1:3" ht="12.75">
      <c r="A67" s="53"/>
      <c r="B67" s="56"/>
      <c r="C67" s="56"/>
    </row>
    <row r="68" spans="1:3" ht="12.75">
      <c r="A68" s="53"/>
      <c r="B68" s="56"/>
      <c r="C68" s="56"/>
    </row>
    <row r="69" spans="1:3" ht="12.75">
      <c r="A69" s="53"/>
      <c r="B69" s="56"/>
      <c r="C69" s="56"/>
    </row>
    <row r="70" spans="1:3" ht="12.75">
      <c r="A70" s="53"/>
      <c r="B70" s="56"/>
      <c r="C70" s="56"/>
    </row>
    <row r="71" spans="1:3" ht="12.75">
      <c r="A71" s="53"/>
      <c r="B71" s="56"/>
      <c r="C71" s="56"/>
    </row>
    <row r="72" spans="1:3" ht="12.75">
      <c r="A72" s="53"/>
      <c r="B72" s="56"/>
      <c r="C72" s="56"/>
    </row>
    <row r="73" spans="1:3" ht="12.75">
      <c r="A73" s="53"/>
      <c r="B73" s="56"/>
      <c r="C73" s="56"/>
    </row>
    <row r="74" spans="1:3" ht="12.75">
      <c r="A74" s="53"/>
      <c r="B74" s="56"/>
      <c r="C74" s="56"/>
    </row>
    <row r="75" spans="1:3" ht="12.75">
      <c r="A75" s="53"/>
      <c r="B75" s="56"/>
      <c r="C75" s="56"/>
    </row>
    <row r="76" spans="1:3" ht="12.75">
      <c r="A76" s="53"/>
      <c r="B76" s="56"/>
      <c r="C76" s="56"/>
    </row>
    <row r="77" spans="1:3" ht="12.75">
      <c r="A77" s="53"/>
      <c r="B77" s="56"/>
      <c r="C77" s="56"/>
    </row>
    <row r="78" spans="1:3" ht="12.75">
      <c r="A78" s="53"/>
      <c r="B78" s="56"/>
      <c r="C78" s="56"/>
    </row>
    <row r="79" spans="1:3" ht="12.75">
      <c r="A79" s="53"/>
      <c r="B79" s="56"/>
      <c r="C79" s="56"/>
    </row>
    <row r="80" spans="1:3" ht="12.75">
      <c r="A80" s="53"/>
      <c r="B80" s="56"/>
      <c r="C80" s="56"/>
    </row>
    <row r="81" spans="1:3" ht="12.75">
      <c r="A81" s="53"/>
      <c r="B81" s="56"/>
      <c r="C81" s="56"/>
    </row>
    <row r="82" spans="1:3" ht="12.75">
      <c r="A82" s="53"/>
      <c r="B82" s="56"/>
      <c r="C82" s="56"/>
    </row>
    <row r="83" spans="1:3" ht="12.75">
      <c r="A83" s="53"/>
      <c r="B83" s="56"/>
      <c r="C83" s="56"/>
    </row>
    <row r="84" spans="1:3" ht="12.75">
      <c r="A84" s="9"/>
      <c r="B84" s="9"/>
      <c r="C84" s="9"/>
    </row>
  </sheetData>
  <sheetProtection/>
  <dataValidations count="2">
    <dataValidation type="list" allowBlank="1" showInputMessage="1" showErrorMessage="1" prompt="select from menu" sqref="B17">
      <formula1>$J$11:$J$19</formula1>
    </dataValidation>
    <dataValidation type="list" allowBlank="1" showInputMessage="1" showErrorMessage="1" prompt="select from menu&#10;" sqref="B18">
      <formula1>$J$11:$J$19</formula1>
    </dataValidation>
  </dataValidations>
  <printOptions/>
  <pageMargins left="0.6" right="0.5" top="0.7" bottom="0.5" header="0.5" footer="0.5"/>
  <pageSetup horizontalDpi="600" verticalDpi="600" orientation="portrait" paperSize="17" scale="115"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dc:creator>
  <cp:keywords/>
  <dc:description/>
  <cp:lastModifiedBy>Tod Hanley</cp:lastModifiedBy>
  <cp:lastPrinted>2011-08-16T23:02:37Z</cp:lastPrinted>
  <dcterms:created xsi:type="dcterms:W3CDTF">1998-05-06T15:35:16Z</dcterms:created>
  <dcterms:modified xsi:type="dcterms:W3CDTF">2011-09-26T15:22:48Z</dcterms:modified>
  <cp:category/>
  <cp:version/>
  <cp:contentType/>
  <cp:contentStatus/>
</cp:coreProperties>
</file>